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Here" sheetId="1" state="visible" r:id="rId3"/>
    <sheet name="Gross Margin Calculator" sheetId="2" state="visible" r:id="rId4"/>
    <sheet name="Product Mix" sheetId="3" state="visible" r:id="rId5"/>
    <sheet name="Discount Impact" sheetId="4" state="visible" r:id="rId6"/>
    <sheet name="Worked Examples" sheetId="5" state="visible" r:id="rId7"/>
    <sheet name="Formula Guide" sheetId="6" state="visible" r:id="rId8"/>
    <sheet name="Checks" sheetId="7" state="visible" r:id="rId9"/>
  </sheets>
  <definedNames>
    <definedName function="false" hidden="false" name="Checks_Status" vbProcedure="false">Checks!$E$24</definedName>
    <definedName function="false" hidden="false" name="COGS" vbProcedure="false">'Gross Margin Calculator'!$D$10</definedName>
    <definedName function="false" hidden="false" name="Cost_Pct" vbProcedure="false">'Gross Margin Calculator'!$I$16</definedName>
    <definedName function="false" hidden="false" name="D_Cost" vbProcedure="false">'Discount Impact'!$C$9</definedName>
    <definedName function="false" hidden="false" name="D_Disc" vbProcedure="false">'Discount Impact'!$C$11</definedName>
    <definedName function="false" hidden="false" name="D_Extra" vbProcedure="false">'Discount Impact'!$C$22</definedName>
    <definedName function="false" hidden="false" name="D_GPAfter" vbProcedure="false">'Discount Impact'!$C$16</definedName>
    <definedName function="false" hidden="false" name="D_GPBefore" vbProcedure="false">'Discount Impact'!$C$15</definedName>
    <definedName function="false" hidden="false" name="D_Needed" vbProcedure="false">'Discount Impact'!$C$21</definedName>
    <definedName function="false" hidden="false" name="D_NewPrice" vbProcedure="false">'Discount Impact'!$C$14</definedName>
    <definedName function="false" hidden="false" name="D_Price" vbProcedure="false">'Discount Impact'!$C$8</definedName>
    <definedName function="false" hidden="false" name="D_TotalGP" vbProcedure="false">'Discount Impact'!$C$20</definedName>
    <definedName function="false" hidden="false" name="D_Units" vbProcedure="false">'Discount Impact'!$C$10</definedName>
    <definedName function="false" hidden="false" name="GM_Result" vbProcedure="false">'Gross Margin Calculator'!$H$11</definedName>
    <definedName function="false" hidden="false" name="Gross_Profit" vbProcedure="false">'Gross Margin Calculator'!$I$14</definedName>
    <definedName function="false" hidden="false" name="Markup_Equiv" vbProcedure="false">'Gross Margin Calculator'!$I$15</definedName>
    <definedName function="false" hidden="false" name="Mix_Blended" vbProcedure="false">'Product Mix'!$I$28</definedName>
    <definedName function="false" hidden="false" name="Revenue" vbProcedure="false">'Gross Margin Calculator'!$D$8</definedName>
  </definedNames>
  <calcPr fullCalcOnLoad="1"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8" authorId="0">
      <text>
        <r>
          <rPr>
            <sz val="10"/>
            <rFont val="Arial"/>
            <family val="2"/>
          </rPr>
          <t xml:space="preserve">Example from the online calculator — replace with your own.</t>
        </r>
      </text>
    </comment>
  </commentList>
</comments>
</file>

<file path=xl/sharedStrings.xml><?xml version="1.0" encoding="utf-8"?>
<sst xmlns="http://schemas.openxmlformats.org/spreadsheetml/2006/main" count="245" uniqueCount="206">
  <si>
    <t xml:space="preserve">Gross Margin Calculator — Excel Workbook</t>
  </si>
  <si>
    <t xml:space="preserve">BabaDigit free resource · babadigit.com/gross-margin-calculator</t>
  </si>
  <si>
    <t xml:space="preserve">What this workbook does</t>
  </si>
  <si>
    <t xml:space="preserve">Gross margin is the share of each sales dollar left after the direct cost of delivering the sale. This workbook calculates gross margin, gross profit, the equivalent markup and cost as a share of revenue — using the same method as the free Gross Margin Calculator on babadigit.com — then breaks margin down by product and shows what a discount really costs.</t>
  </si>
  <si>
    <t xml:space="preserve">How to use it</t>
  </si>
  <si>
    <t xml:space="preserve">1. Open 'Gross Margin Calculator'</t>
  </si>
  <si>
    <t xml:space="preserve">Enter revenue and cost of goods sold in the yellow cells.</t>
  </si>
  <si>
    <t xml:space="preserve">2. Read the result</t>
  </si>
  <si>
    <t xml:space="preserve">The navy panel shows gross margin, gross profit, the equivalent markup and cost as a % of revenue.</t>
  </si>
  <si>
    <t xml:space="preserve">3. Find the weak lines</t>
  </si>
  <si>
    <t xml:space="preserve">'Product Mix' calculates the margin of every product and the blended margin of the whole range.</t>
  </si>
  <si>
    <t xml:space="preserve">4. Test a discount</t>
  </si>
  <si>
    <t xml:space="preserve">'Discount Impact' shows how many extra units a price cut needs just to keep gross profit where it was.</t>
  </si>
  <si>
    <t xml:space="preserve">Inputs explained</t>
  </si>
  <si>
    <t xml:space="preserve">Revenue</t>
  </si>
  <si>
    <t xml:space="preserve">Sales before any costs, net of discounts and returns. Must be above zero.</t>
  </si>
  <si>
    <t xml:space="preserve">Cost of goods sold</t>
  </si>
  <si>
    <t xml:space="preserve">Only costs that rise and fall with what you sell: materials, stock purchases, direct labour, freight, payment fees. Rent, admin salaries and subscriptions stay out. Leave blank for zero.</t>
  </si>
  <si>
    <t xml:space="preserve">Cell colour key</t>
  </si>
  <si>
    <t xml:space="preserve">Yellow cell, blue text</t>
  </si>
  <si>
    <t xml:space="preserve">An input — type your own numbers here.</t>
  </si>
  <si>
    <t xml:space="preserve">White cell, black text</t>
  </si>
  <si>
    <t xml:space="preserve">A formula — calculated for you. Please do not overwrite.</t>
  </si>
  <si>
    <t xml:space="preserve">Navy panel, teal figures</t>
  </si>
  <si>
    <t xml:space="preserve">The headline results.</t>
  </si>
  <si>
    <t xml:space="preserve">—  (a dash)</t>
  </si>
  <si>
    <t xml:space="preserve">The result is not mathematically available for the figures entered — see 'Input checks'.</t>
  </si>
  <si>
    <t xml:space="preserve">How to interpret gross margin</t>
  </si>
  <si>
    <t xml:space="preserve">Gross margin</t>
  </si>
  <si>
    <t xml:space="preserve">Cents of every sales dollar left to pay for overheads and profit. It sets the ceiling on everything below it.</t>
  </si>
  <si>
    <t xml:space="preserve">Equivalent markup</t>
  </si>
  <si>
    <t xml:space="preserve">The same gross profit measured against cost instead of price. Always the larger percentage.</t>
  </si>
  <si>
    <t xml:space="preserve">Negative margin</t>
  </si>
  <si>
    <t xml:space="preserve">You are selling below what the goods cost you. Every extra sale makes the loss bigger.</t>
  </si>
  <si>
    <t xml:space="preserve">Trend</t>
  </si>
  <si>
    <t xml:space="preserve">A margin that falls quarter after quarter matters more than its absolute level.</t>
  </si>
  <si>
    <t xml:space="preserve">Limitations and assumptions</t>
  </si>
  <si>
    <t xml:space="preserve">•  Gross margin says nothing about overheads. A high-margin business with heavy fixed costs can still lose money.</t>
  </si>
  <si>
    <t xml:space="preserve">•  Everyone draws the COGS line slightly differently, so compare margins only when you know what each includes.</t>
  </si>
  <si>
    <t xml:space="preserve">•  A blended margin averages your best and worst products — use 'Product Mix' to see each line.</t>
  </si>
  <si>
    <t xml:space="preserve">•  Revenue must be above zero; with no revenue there is no margin to calculate.</t>
  </si>
  <si>
    <t xml:space="preserve">•  Results are for general information only, not financial advice.</t>
  </si>
  <si>
    <t xml:space="preserve">Workbook contents</t>
  </si>
  <si>
    <t xml:space="preserve">Gross Margin Calculator</t>
  </si>
  <si>
    <t xml:space="preserve">Your calculation: inputs, results, where each sales dollar goes and margin at different prices.</t>
  </si>
  <si>
    <t xml:space="preserve">Product Mix</t>
  </si>
  <si>
    <t xml:space="preserve">Margin by product and the blended margin of your range.</t>
  </si>
  <si>
    <t xml:space="preserve">Discount Impact</t>
  </si>
  <si>
    <t xml:space="preserve">What a price cut costs in gross profit and the extra volume it demands.</t>
  </si>
  <si>
    <t xml:space="preserve">Worked Examples</t>
  </si>
  <si>
    <t xml:space="preserve">The worked examples from the article.</t>
  </si>
  <si>
    <t xml:space="preserve">Formula Guide</t>
  </si>
  <si>
    <t xml:space="preserve">The maths and the exact formula behind every result.</t>
  </si>
  <si>
    <t xml:space="preserve">Checks</t>
  </si>
  <si>
    <t xml:space="preserve">Automatic self-checks that confirm the workbook is calculating correctly.</t>
  </si>
  <si>
    <t xml:space="preserve">No macros, no add-ins, no internet connection required. Sheets are not locked, so you can adapt the workbook. © BabaDigit — free to use for your own analysis. Free online version: babadigit.com/gross-margin-calculator. Results are for general information only and are not financial advice.</t>
  </si>
  <si>
    <t xml:space="preserve">Enter your figures in the yellow cells. Results update automatically.</t>
  </si>
  <si>
    <t xml:space="preserve">1  Your figures</t>
  </si>
  <si>
    <t xml:space="preserve">Sales net of discounts and returns.</t>
  </si>
  <si>
    <t xml:space="preserve">RESULTS</t>
  </si>
  <si>
    <t xml:space="preserve">Only costs that move with sales volume.</t>
  </si>
  <si>
    <t xml:space="preserve">2  Where each 100 of sales goes</t>
  </si>
  <si>
    <t xml:space="preserve">Amount</t>
  </si>
  <si>
    <t xml:space="preserve">Per 100 of sales</t>
  </si>
  <si>
    <t xml:space="preserve">Share</t>
  </si>
  <si>
    <t xml:space="preserve">Gross profit</t>
  </si>
  <si>
    <t xml:space="preserve">Cost as % of revenue</t>
  </si>
  <si>
    <t xml:space="preserve">3  Gross margin if prices change (same volume, same costs)</t>
  </si>
  <si>
    <t xml:space="preserve">Price change</t>
  </si>
  <si>
    <t xml:space="preserve">Change in gross profit</t>
  </si>
  <si>
    <t xml:space="preserve">Reading this result</t>
  </si>
  <si>
    <t xml:space="preserve">Input checks</t>
  </si>
  <si>
    <t xml:space="preserve">Assumes the same number of units at the new price and unchanged direct costs. A 5% price rise with no volume loss drops straight through to gross profit — which is why price is usually the most powerful lever.</t>
  </si>
  <si>
    <t xml:space="preserve">Gross margin = (revenue − cost of goods sold) ÷ revenue. See 'Formula Guide'.</t>
  </si>
  <si>
    <t xml:space="preserve">Margin by product. A blended figure hides the lines quietly losing money.</t>
  </si>
  <si>
    <t xml:space="preserve">Product</t>
  </si>
  <si>
    <t xml:space="preserve">Units sold</t>
  </si>
  <si>
    <t xml:space="preserve">Price per unit</t>
  </si>
  <si>
    <t xml:space="preserve">Cost per unit</t>
  </si>
  <si>
    <t xml:space="preserve">Share of gross profit</t>
  </si>
  <si>
    <t xml:space="preserve">Premium range</t>
  </si>
  <si>
    <t xml:space="preserve">Standard range</t>
  </si>
  <si>
    <t xml:space="preserve">Clearance line</t>
  </si>
  <si>
    <t xml:space="preserve">Accessories</t>
  </si>
  <si>
    <t xml:space="preserve">Total / blended</t>
  </si>
  <si>
    <t xml:space="preserve">What the mix tells you</t>
  </si>
  <si>
    <t xml:space="preserve">Products entered</t>
  </si>
  <si>
    <t xml:space="preserve">Highest-margin product</t>
  </si>
  <si>
    <t xml:space="preserve">Lowest-margin product</t>
  </si>
  <si>
    <t xml:space="preserve">Products selling below cost</t>
  </si>
  <si>
    <t xml:space="preserve">Gross profit lost on loss-making lines</t>
  </si>
  <si>
    <t xml:space="preserve">Blended margin without loss-making lines</t>
  </si>
  <si>
    <t xml:space="preserve">Enter one product per row. Cost per unit is direct cost only. 'Share of gross profit' shows which lines actually pay the overheads — a line with high revenue but a thin or negative margin can be the one holding the business back. Example products are fictional.</t>
  </si>
  <si>
    <t xml:space="preserve">What a price cut costs — and the extra volume it needs just to stand still.</t>
  </si>
  <si>
    <t xml:space="preserve">Your product</t>
  </si>
  <si>
    <t xml:space="preserve">Current price per unit</t>
  </si>
  <si>
    <t xml:space="preserve">Direct cost per unit</t>
  </si>
  <si>
    <t xml:space="preserve">Units sold at the current price</t>
  </si>
  <si>
    <t xml:space="preserve">Discount you are considering</t>
  </si>
  <si>
    <t xml:space="preserve">Result</t>
  </si>
  <si>
    <t xml:space="preserve">Price after discount</t>
  </si>
  <si>
    <t xml:space="preserve">Gross profit per unit before</t>
  </si>
  <si>
    <t xml:space="preserve">Gross profit per unit after</t>
  </si>
  <si>
    <t xml:space="preserve">Gross margin before</t>
  </si>
  <si>
    <t xml:space="preserve">Gross margin after</t>
  </si>
  <si>
    <t xml:space="preserve">Share of unit gross profit given away</t>
  </si>
  <si>
    <t xml:space="preserve">Total gross profit today</t>
  </si>
  <si>
    <t xml:space="preserve">Units needed to keep total gross profit</t>
  </si>
  <si>
    <t xml:space="preserve">Extra volume required</t>
  </si>
  <si>
    <t xml:space="preserve">The same product at other discounts</t>
  </si>
  <si>
    <t xml:space="preserve">Discount</t>
  </si>
  <si>
    <t xml:space="preserve">Price after</t>
  </si>
  <si>
    <t xml:space="preserve">Gross profit per unit</t>
  </si>
  <si>
    <t xml:space="preserve">Units to keep gross profit</t>
  </si>
  <si>
    <t xml:space="preserve">Extra volume</t>
  </si>
  <si>
    <t xml:space="preserve">Units are rounded up to whole units. The thinner the margin, the more volume a discount demands — a 10% cut on a 36% margin product needs about 38.5% more sales just to stand still.</t>
  </si>
  <si>
    <t xml:space="preserve">Fictional scenarios — the same examples as babadigit.com/gross-margin-calculator.</t>
  </si>
  <si>
    <t xml:space="preserve">Example 1 — A product business</t>
  </si>
  <si>
    <t xml:space="preserve">A company sells 250,000 of goods in a year. The goods cost 160,000 to buy in, including inbound freight.</t>
  </si>
  <si>
    <t xml:space="preserve">250,000 − 160,000 = 90,000</t>
  </si>
  <si>
    <t xml:space="preserve">90,000 ÷ 250,000 = 36.00%</t>
  </si>
  <si>
    <t xml:space="preserve">Cost as a share of revenue</t>
  </si>
  <si>
    <t xml:space="preserve">160,000 ÷ 250,000 = 64.00%</t>
  </si>
  <si>
    <t xml:space="preserve">Profit if overheads are 70,000</t>
  </si>
  <si>
    <t xml:space="preserve">90,000 − 70,000 = 20,000</t>
  </si>
  <si>
    <t xml:space="preserve">Profit if overheads are 95,000</t>
  </si>
  <si>
    <t xml:space="preserve">A loss, even though every sale is profitable</t>
  </si>
  <si>
    <t xml:space="preserve">Example 2 — Margin is not markup</t>
  </si>
  <si>
    <t xml:space="preserve">The same business could describe its pricing two ways, and only one of them is the margin.</t>
  </si>
  <si>
    <t xml:space="preserve">Gross profit ÷ revenue (margin)</t>
  </si>
  <si>
    <t xml:space="preserve">Gross profit ÷ cost (markup)</t>
  </si>
  <si>
    <t xml:space="preserve">90,000 ÷ 160,000 = 56.25%</t>
  </si>
  <si>
    <t xml:space="preserve">Example 3 — What a 10% price cut really costs</t>
  </si>
  <si>
    <t xml:space="preserve">1,000 units at 250, each costing 160. A competitor forces a 10% price cut to 225.</t>
  </si>
  <si>
    <t xml:space="preserve">Units</t>
  </si>
  <si>
    <t xml:space="preserve">250 − 160 = 90</t>
  </si>
  <si>
    <t xml:space="preserve">225 − 160 = 65</t>
  </si>
  <si>
    <t xml:space="preserve">Units needed to hold 90,000</t>
  </si>
  <si>
    <t xml:space="preserve">90,000 ÷ 65 = 1,384.6 → 1,385 units</t>
  </si>
  <si>
    <t xml:space="preserve">A 38.5% increase in volume just to stand still</t>
  </si>
  <si>
    <t xml:space="preserve">Unit gross profit given away</t>
  </si>
  <si>
    <t xml:space="preserve">A 10% discount costs about 28% of the gross profit on every unit</t>
  </si>
  <si>
    <t xml:space="preserve">Change any yellow cell to see how each result responds. Examples are fictional and for illustration only.</t>
  </si>
  <si>
    <t xml:space="preserve">The method behind every result — identical to the online BabaDigit Gross Margin Calculator.</t>
  </si>
  <si>
    <t xml:space="preserve">The formulas</t>
  </si>
  <si>
    <t xml:space="preserve">Mathematical formula</t>
  </si>
  <si>
    <t xml:space="preserve">How this workbook calculates it</t>
  </si>
  <si>
    <t xml:space="preserve">Revenue − Cost of goods sold</t>
  </si>
  <si>
    <t xml:space="preserve">=Revenue-N(COGS)</t>
  </si>
  <si>
    <t xml:space="preserve">(Revenue − COGS) ÷ Revenue</t>
  </si>
  <si>
    <t xml:space="preserve">=(Revenue-N(COGS))/Revenue</t>
  </si>
  <si>
    <t xml:space="preserve">(Revenue − COGS) ÷ COGS, shown only when COGS &gt; 0</t>
  </si>
  <si>
    <t xml:space="preserve">=IF(N(COGS)&gt;0,(Revenue-N(COGS))/N(COGS),"—")</t>
  </si>
  <si>
    <t xml:space="preserve">COGS ÷ Revenue</t>
  </si>
  <si>
    <t xml:space="preserve">=N(COGS)/Revenue</t>
  </si>
  <si>
    <t xml:space="preserve">Units to keep gross profit after a discount</t>
  </si>
  <si>
    <t xml:space="preserve">Gross profit today ÷ gross profit per unit after the discount, rounded up</t>
  </si>
  <si>
    <t xml:space="preserve">=-INT(-D_TotalGP/D_GPAfter)</t>
  </si>
  <si>
    <t xml:space="preserve">Why these rules</t>
  </si>
  <si>
    <t xml:space="preserve">•  Results appear only when revenue is a number above zero — exactly like the online calculator.</t>
  </si>
  <si>
    <t xml:space="preserve">•  A blank cost of goods sold is treated as zero, as the online calculator does.</t>
  </si>
  <si>
    <t xml:space="preserve">•  Equivalent markup needs a cost above zero; with no cost there is nothing to mark up.</t>
  </si>
  <si>
    <t xml:space="preserve">•  Margin and markup describe the same gross profit: markup = margin ÷ (1 − margin).</t>
  </si>
  <si>
    <t xml:space="preserve">Do it in any spreadsheet</t>
  </si>
  <si>
    <t xml:space="preserve">Set-up</t>
  </si>
  <si>
    <t xml:space="preserve">Revenue in B1, cost of goods sold in B2.</t>
  </si>
  <si>
    <t xml:space="preserve">=(B1-B2)/B1</t>
  </si>
  <si>
    <t xml:space="preserve">Markup, not margin</t>
  </si>
  <si>
    <t xml:space="preserve">=(B1-B2)/B2</t>
  </si>
  <si>
    <t xml:space="preserve">Blank-safe version</t>
  </si>
  <si>
    <t xml:space="preserve">=IF(B1&gt;0,(B1-B2)/B1,"")</t>
  </si>
  <si>
    <t xml:space="preserve">Named ranges used</t>
  </si>
  <si>
    <t xml:space="preserve">'Gross Margin Calculator'!D8</t>
  </si>
  <si>
    <t xml:space="preserve">COGS</t>
  </si>
  <si>
    <t xml:space="preserve">'Gross Margin Calculator'!D10</t>
  </si>
  <si>
    <t xml:space="preserve">GM_Result</t>
  </si>
  <si>
    <t xml:space="preserve">'Gross Margin Calculator'!H11</t>
  </si>
  <si>
    <t xml:space="preserve">Gross_Profit</t>
  </si>
  <si>
    <t xml:space="preserve">'Gross Margin Calculator'!I14</t>
  </si>
  <si>
    <t xml:space="preserve">Markup_Equiv</t>
  </si>
  <si>
    <t xml:space="preserve">'Gross Margin Calculator'!I15</t>
  </si>
  <si>
    <t xml:space="preserve">Cost_Pct</t>
  </si>
  <si>
    <t xml:space="preserve">'Gross Margin Calculator'!I16</t>
  </si>
  <si>
    <t xml:space="preserve">Mix_Blended</t>
  </si>
  <si>
    <t xml:space="preserve">'Product Mix'!I28</t>
  </si>
  <si>
    <t xml:space="preserve">Automatic self-checks. Every row should read PASS (or N/A).</t>
  </si>
  <si>
    <t xml:space="preserve">Check</t>
  </si>
  <si>
    <t xml:space="preserve">Workbook</t>
  </si>
  <si>
    <t xml:space="preserve">Expected</t>
  </si>
  <si>
    <t xml:space="preserve">Example 1 gross profit matches the published 90,000</t>
  </si>
  <si>
    <t xml:space="preserve">Example 1 gross margin matches the published 36.00%</t>
  </si>
  <si>
    <t xml:space="preserve">Example 1 cost share matches the published 64.00%</t>
  </si>
  <si>
    <t xml:space="preserve">Example 1 profit at 70,000 overheads is 20,000</t>
  </si>
  <si>
    <t xml:space="preserve">Example 2 markup matches the published 56.25%</t>
  </si>
  <si>
    <t xml:space="preserve">Example 3 units needed match the published 1,385</t>
  </si>
  <si>
    <t xml:space="preserve">Example 3 extra volume matches the published 38.5%</t>
  </si>
  <si>
    <t xml:space="preserve">Example 3 unit gross profit after the cut is 65</t>
  </si>
  <si>
    <t xml:space="preserve">Discount Impact default reproduces Example 3 (1,385 units)</t>
  </si>
  <si>
    <t xml:space="preserve">Calculator: gross profit + cost of goods sold = revenue</t>
  </si>
  <si>
    <t xml:space="preserve">Calculator: gross margin + cost share = 100%</t>
  </si>
  <si>
    <t xml:space="preserve">Calculator: markup = margin ÷ (1 − margin)</t>
  </si>
  <si>
    <t xml:space="preserve">Calculator: the 0% price-change row equals the headline gross profit</t>
  </si>
  <si>
    <t xml:space="preserve">Product Mix: total gross profit = total revenue − total cost</t>
  </si>
  <si>
    <t xml:space="preserve">Product Mix: shares of gross profit add up to 100%</t>
  </si>
  <si>
    <t xml:space="preserve">Overall status</t>
  </si>
  <si>
    <t xml:space="preserve">'N/A' means a check does not apply to the figures currently entered. Published values are the worked-example results on babadigit.com/gross-margin-calculator.</t>
  </si>
</sst>
</file>

<file path=xl/styles.xml><?xml version="1.0" encoding="utf-8"?>
<styleSheet xmlns="http://schemas.openxmlformats.org/spreadsheetml/2006/main">
  <numFmts count="10">
    <numFmt numFmtId="164" formatCode="General"/>
    <numFmt numFmtId="165" formatCode="#,##0.00;[RED]\-#,##0.00;\-"/>
    <numFmt numFmtId="166" formatCode="0.00%;[RED]\-0.00%;0.00%"/>
    <numFmt numFmtId="167" formatCode="\+0%;\-0%;0%"/>
    <numFmt numFmtId="168" formatCode="#,##0;[RED]\-#,##0;\-"/>
    <numFmt numFmtId="169" formatCode="0"/>
    <numFmt numFmtId="170" formatCode="@"/>
    <numFmt numFmtId="171" formatCode="0%"/>
    <numFmt numFmtId="172" formatCode="0.00%"/>
    <numFmt numFmtId="173" formatCode="#,##0&quot; units&quot;"/>
  </numFmts>
  <fonts count="35">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94A3B8"/>
      <name val="Arial"/>
      <family val="0"/>
      <charset val="1"/>
    </font>
    <font>
      <b val="true"/>
      <sz val="11"/>
      <color rgb="FF0F172A"/>
      <name val="Arial"/>
      <family val="0"/>
      <charset val="1"/>
    </font>
    <font>
      <sz val="10"/>
      <color rgb="FF334155"/>
      <name val="Arial"/>
      <family val="0"/>
      <charset val="1"/>
    </font>
    <font>
      <b val="true"/>
      <sz val="10"/>
      <color rgb="FF0F172A"/>
      <name val="Arial"/>
      <family val="0"/>
      <charset val="1"/>
    </font>
    <font>
      <b val="true"/>
      <sz val="10"/>
      <color rgb="FF0000FF"/>
      <name val="Arial"/>
      <family val="0"/>
      <charset val="1"/>
    </font>
    <font>
      <b val="true"/>
      <sz val="10"/>
      <color rgb="FF000000"/>
      <name val="Arial"/>
      <family val="0"/>
      <charset val="1"/>
    </font>
    <font>
      <b val="true"/>
      <sz val="10"/>
      <color rgb="FF14B8A6"/>
      <name val="Arial"/>
      <family val="0"/>
      <charset val="1"/>
    </font>
    <font>
      <b val="true"/>
      <sz val="10"/>
      <color rgb="FF334155"/>
      <name val="Arial"/>
      <family val="0"/>
      <charset val="1"/>
    </font>
    <font>
      <b val="true"/>
      <sz val="10"/>
      <color rgb="FF2563EB"/>
      <name val="Arial"/>
      <family val="0"/>
      <charset val="1"/>
    </font>
    <font>
      <i val="true"/>
      <sz val="9"/>
      <color rgb="FF64748B"/>
      <name val="Arial"/>
      <family val="0"/>
      <charset val="1"/>
    </font>
    <font>
      <sz val="10"/>
      <color rgb="FF0000FF"/>
      <name val="Arial"/>
      <family val="0"/>
      <charset val="1"/>
    </font>
    <font>
      <sz val="9"/>
      <color rgb="FF64748B"/>
      <name val="Arial"/>
      <family val="0"/>
      <charset val="1"/>
    </font>
    <font>
      <b val="true"/>
      <sz val="9"/>
      <color rgb="FF94A3B8"/>
      <name val="Arial"/>
      <family val="0"/>
      <charset val="1"/>
    </font>
    <font>
      <sz val="10"/>
      <color rgb="FFCBD5E1"/>
      <name val="Arial"/>
      <family val="0"/>
      <charset val="1"/>
    </font>
    <font>
      <b val="true"/>
      <sz val="26"/>
      <color rgb="FF14B8A6"/>
      <name val="Arial"/>
      <family val="0"/>
      <charset val="1"/>
    </font>
    <font>
      <b val="true"/>
      <sz val="9"/>
      <color rgb="FFFFFFFF"/>
      <name val="Arial"/>
      <family val="0"/>
      <charset val="1"/>
    </font>
    <font>
      <b val="true"/>
      <sz val="11"/>
      <color rgb="FFFFFFFF"/>
      <name val="Arial"/>
      <family val="0"/>
      <charset val="1"/>
    </font>
    <font>
      <sz val="10"/>
      <color rgb="FF000000"/>
      <name val="Arial"/>
      <family val="0"/>
      <charset val="1"/>
    </font>
    <font>
      <sz val="9"/>
      <color rgb="FF94A3B8"/>
      <name val="Arial"/>
      <family val="0"/>
      <charset val="1"/>
    </font>
    <font>
      <sz val="9"/>
      <color rgb="FF334155"/>
      <name val="Arial"/>
      <family val="0"/>
      <charset val="1"/>
    </font>
    <font>
      <sz val="10"/>
      <name val="Arial"/>
      <family val="2"/>
    </font>
    <font>
      <b val="true"/>
      <sz val="18"/>
      <color rgb="FF000000"/>
      <name val="Calibri"/>
      <family val="2"/>
    </font>
    <font>
      <sz val="10"/>
      <color rgb="FF000000"/>
      <name val="Calibri"/>
      <family val="2"/>
    </font>
    <font>
      <b val="true"/>
      <sz val="9"/>
      <color rgb="FFB91C1C"/>
      <name val="Arial"/>
      <family val="0"/>
      <charset val="1"/>
    </font>
    <font>
      <sz val="9"/>
      <color rgb="FF334155"/>
      <name val="Courier New"/>
      <family val="0"/>
      <charset val="1"/>
    </font>
    <font>
      <sz val="10"/>
      <color rgb="FF334155"/>
      <name val="Courier New"/>
      <family val="0"/>
      <charset val="1"/>
    </font>
    <font>
      <sz val="10"/>
      <color rgb="FF0F172A"/>
      <name val="Courier New"/>
      <family val="0"/>
      <charset val="1"/>
    </font>
    <font>
      <sz val="10"/>
      <color rgb="FF64748B"/>
      <name val="Arial"/>
      <family val="0"/>
      <charset val="1"/>
    </font>
    <font>
      <b val="true"/>
      <sz val="10"/>
      <color rgb="FF0F766E"/>
      <name val="Arial"/>
      <family val="0"/>
      <charset val="1"/>
    </font>
    <font>
      <b val="true"/>
      <sz val="11"/>
      <color rgb="FF0F766E"/>
      <name val="Arial"/>
      <family val="0"/>
      <charset val="1"/>
    </font>
  </fonts>
  <fills count="7">
    <fill>
      <patternFill patternType="none"/>
    </fill>
    <fill>
      <patternFill patternType="gray125"/>
    </fill>
    <fill>
      <patternFill patternType="solid">
        <fgColor rgb="FF0F172A"/>
        <bgColor rgb="FF1E293B"/>
      </patternFill>
    </fill>
    <fill>
      <patternFill patternType="solid">
        <fgColor rgb="FF14B8A6"/>
        <bgColor rgb="FF00CCFF"/>
      </patternFill>
    </fill>
    <fill>
      <patternFill patternType="solid">
        <fgColor rgb="FFFEF9C3"/>
        <bgColor rgb="FFFFFF99"/>
      </patternFill>
    </fill>
    <fill>
      <patternFill patternType="solid">
        <fgColor rgb="FFFFFFFF"/>
        <bgColor rgb="FFF8FAFC"/>
      </patternFill>
    </fill>
    <fill>
      <patternFill patternType="solid">
        <fgColor rgb="FFF8FAFC"/>
        <bgColor rgb="FFFFFFFF"/>
      </patternFill>
    </fill>
  </fills>
  <borders count="6">
    <border diagonalUp="false" diagonalDown="false">
      <left/>
      <right/>
      <top/>
      <bottom/>
      <diagonal/>
    </border>
    <border diagonalUp="false" diagonalDown="false">
      <left/>
      <right/>
      <top/>
      <bottom style="medium">
        <color rgb="FF2563EB"/>
      </bottom>
      <diagonal/>
    </border>
    <border diagonalUp="false" diagonalDown="false">
      <left style="thin">
        <color rgb="FFE2E8F0"/>
      </left>
      <right style="thin">
        <color rgb="FFE2E8F0"/>
      </right>
      <top style="thin">
        <color rgb="FFE2E8F0"/>
      </top>
      <bottom style="thin">
        <color rgb="FFE2E8F0"/>
      </bottom>
      <diagonal/>
    </border>
    <border diagonalUp="false" diagonalDown="false">
      <left/>
      <right/>
      <top/>
      <bottom style="thin">
        <color rgb="FF1E293B"/>
      </bottom>
      <diagonal/>
    </border>
    <border diagonalUp="false" diagonalDown="false">
      <left/>
      <right/>
      <top style="medium">
        <color rgb="FF0F172A"/>
      </top>
      <bottom style="thin">
        <color rgb="FFE2E8F0"/>
      </bottom>
      <diagonal/>
    </border>
    <border diagonalUp="false" diagonalDown="false">
      <left/>
      <right/>
      <top/>
      <bottom style="thin">
        <color rgb="FFE2E8F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4" borderId="2" xfId="0" applyFont="true" applyBorder="true" applyAlignment="false" applyProtection="false">
      <alignment horizontal="general" vertical="bottom" textRotation="0" wrapText="false" indent="0" shrinkToFit="false"/>
      <protection locked="true" hidden="false"/>
    </xf>
    <xf numFmtId="164" fontId="10" fillId="5" borderId="2" xfId="0" applyFont="true" applyBorder="true" applyAlignment="false" applyProtection="false">
      <alignment horizontal="general" vertical="bottom" textRotation="0" wrapText="false" indent="0" shrinkToFit="false"/>
      <protection locked="true" hidden="false"/>
    </xf>
    <xf numFmtId="164" fontId="11" fillId="2" borderId="2" xfId="0" applyFont="true" applyBorder="true" applyAlignment="false" applyProtection="false">
      <alignment horizontal="general" vertical="bottom" textRotation="0" wrapText="false" indent="0" shrinkToFit="false"/>
      <protection locked="true" hidden="false"/>
    </xf>
    <xf numFmtId="164" fontId="12" fillId="5"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1" shrinkToFit="false"/>
      <protection locked="true" hidden="false"/>
    </xf>
    <xf numFmtId="164" fontId="0" fillId="2" borderId="0" xfId="0" applyFont="false" applyBorder="false" applyAlignment="true" applyProtection="false">
      <alignment horizontal="right" vertical="bottom" textRotation="0" wrapText="false" indent="1"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5" fillId="4" borderId="2" xfId="0" applyFont="true" applyBorder="true" applyAlignment="true" applyProtection="false">
      <alignment horizontal="right"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2" borderId="0" xfId="0" applyFont="true" applyBorder="false" applyAlignment="true" applyProtection="false">
      <alignment horizontal="left" vertical="bottom" textRotation="0" wrapText="false" indent="1" shrinkToFit="false"/>
      <protection locked="true" hidden="false"/>
    </xf>
    <xf numFmtId="164" fontId="18" fillId="2" borderId="0" xfId="0" applyFont="true" applyBorder="false" applyAlignment="true" applyProtection="false">
      <alignment horizontal="left" vertical="bottom" textRotation="0" wrapText="false" indent="1" shrinkToFit="false"/>
      <protection locked="true" hidden="false"/>
    </xf>
    <xf numFmtId="166" fontId="19" fillId="2" borderId="0" xfId="0" applyFont="true" applyBorder="true" applyAlignment="true" applyProtection="false">
      <alignment horizontal="left" vertical="center" textRotation="0" wrapText="false" indent="1" shrinkToFit="false"/>
      <protection locked="true" hidden="false"/>
    </xf>
    <xf numFmtId="164" fontId="20" fillId="2" borderId="0" xfId="0" applyFont="true" applyBorder="false" applyAlignment="true" applyProtection="false">
      <alignment horizontal="left" vertical="center" textRotation="0" wrapText="true" indent="0" shrinkToFit="false"/>
      <protection locked="true" hidden="false"/>
    </xf>
    <xf numFmtId="164" fontId="20" fillId="2" borderId="0" xfId="0" applyFont="true" applyBorder="false" applyAlignment="true" applyProtection="false">
      <alignment horizontal="right" vertical="center" textRotation="0" wrapText="true" indent="0" shrinkToFit="false"/>
      <protection locked="true" hidden="false"/>
    </xf>
    <xf numFmtId="164" fontId="18" fillId="2" borderId="3" xfId="0" applyFont="true" applyBorder="true" applyAlignment="true" applyProtection="false">
      <alignment horizontal="left" vertical="bottom" textRotation="0" wrapText="false" indent="1" shrinkToFit="false"/>
      <protection locked="true" hidden="false"/>
    </xf>
    <xf numFmtId="165" fontId="21" fillId="2" borderId="3" xfId="0" applyFont="true" applyBorder="true" applyAlignment="true" applyProtection="false">
      <alignment horizontal="right" vertical="bottom" textRotation="0" wrapText="false" indent="1" shrinkToFit="false"/>
      <protection locked="true" hidden="false"/>
    </xf>
    <xf numFmtId="165" fontId="22" fillId="0" borderId="2" xfId="0" applyFont="true" applyBorder="true" applyAlignment="true" applyProtection="false">
      <alignment horizontal="right" vertical="bottom" textRotation="0" wrapText="false" indent="0" shrinkToFit="false"/>
      <protection locked="true" hidden="false"/>
    </xf>
    <xf numFmtId="166" fontId="22" fillId="0" borderId="2" xfId="0" applyFont="true" applyBorder="true" applyAlignment="true" applyProtection="false">
      <alignment horizontal="right" vertical="bottom" textRotation="0" wrapText="false" indent="0" shrinkToFit="false"/>
      <protection locked="true" hidden="false"/>
    </xf>
    <xf numFmtId="166" fontId="21" fillId="2" borderId="3" xfId="0" applyFont="true" applyBorder="true" applyAlignment="true" applyProtection="false">
      <alignment horizontal="right" vertical="bottom" textRotation="0" wrapText="false" indent="1"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0" fillId="0" borderId="2" xfId="0" applyFont="true" applyBorder="true" applyAlignment="true" applyProtection="false">
      <alignment horizontal="right" vertical="bottom" textRotation="0" wrapText="false" indent="0" shrinkToFit="false"/>
      <protection locked="true" hidden="false"/>
    </xf>
    <xf numFmtId="166" fontId="10" fillId="0" borderId="2" xfId="0" applyFont="true" applyBorder="true" applyAlignment="true" applyProtection="false">
      <alignment horizontal="right" vertical="bottom" textRotation="0" wrapText="false" indent="0" shrinkToFit="false"/>
      <protection locked="true" hidden="false"/>
    </xf>
    <xf numFmtId="164" fontId="23" fillId="2" borderId="0" xfId="0" applyFont="true" applyBorder="true" applyAlignment="true" applyProtection="false">
      <alignment horizontal="left" vertical="bottom" textRotation="0" wrapText="false" indent="1" shrinkToFit="false"/>
      <protection locked="true" hidden="false"/>
    </xf>
    <xf numFmtId="167" fontId="7" fillId="0" borderId="2" xfId="0" applyFont="true" applyBorder="true" applyAlignment="false" applyProtection="false">
      <alignment horizontal="general" vertical="bottom" textRotation="0" wrapText="false" indent="0" shrinkToFit="false"/>
      <protection locked="true" hidden="false"/>
    </xf>
    <xf numFmtId="164" fontId="7" fillId="6" borderId="0" xfId="0" applyFont="true" applyBorder="true" applyAlignment="true" applyProtection="false">
      <alignment horizontal="general" vertical="top" textRotation="0" wrapText="tru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4" fontId="15" fillId="4" borderId="2" xfId="0" applyFont="true" applyBorder="true" applyAlignment="false" applyProtection="false">
      <alignment horizontal="general" vertical="bottom" textRotation="0" wrapText="false" indent="0" shrinkToFit="false"/>
      <protection locked="true" hidden="false"/>
    </xf>
    <xf numFmtId="168" fontId="15" fillId="4" borderId="2" xfId="0" applyFont="true" applyBorder="true" applyAlignment="true" applyProtection="false">
      <alignment horizontal="right" vertical="bottom" textRotation="0" wrapText="false" indent="0" shrinkToFit="false"/>
      <protection locked="true" hidden="false"/>
    </xf>
    <xf numFmtId="164" fontId="8" fillId="0" borderId="4"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5" fontId="8" fillId="0" borderId="4" xfId="0" applyFont="true" applyBorder="true" applyAlignment="true" applyProtection="false">
      <alignment horizontal="right" vertical="bottom" textRotation="0" wrapText="false" indent="0" shrinkToFit="false"/>
      <protection locked="true" hidden="false"/>
    </xf>
    <xf numFmtId="166" fontId="8" fillId="0" borderId="4" xfId="0" applyFont="true" applyBorder="true" applyAlignment="true" applyProtection="false">
      <alignment horizontal="right"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70" fontId="8" fillId="0" borderId="2" xfId="0" applyFont="true" applyBorder="true" applyAlignment="true" applyProtection="false">
      <alignment horizontal="right"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72" fontId="15" fillId="4" borderId="2" xfId="0" applyFont="true" applyBorder="true" applyAlignment="true" applyProtection="false">
      <alignment horizontal="right" vertical="bottom" textRotation="0" wrapText="false" indent="0" shrinkToFit="false"/>
      <protection locked="true" hidden="false"/>
    </xf>
    <xf numFmtId="173" fontId="8" fillId="0" borderId="2" xfId="0" applyFont="true" applyBorder="true" applyAlignment="true" applyProtection="false">
      <alignment horizontal="right" vertical="bottom" textRotation="0" wrapText="false" indent="0" shrinkToFit="false"/>
      <protection locked="true" hidden="false"/>
    </xf>
    <xf numFmtId="164" fontId="28" fillId="0" borderId="0" xfId="0" applyFont="true" applyBorder="true" applyAlignment="false" applyProtection="false">
      <alignment horizontal="general" vertical="bottom" textRotation="0" wrapText="false" indent="0" shrinkToFit="false"/>
      <protection locked="true" hidden="false"/>
    </xf>
    <xf numFmtId="171" fontId="7" fillId="0" borderId="2" xfId="0" applyFont="true" applyBorder="true" applyAlignment="false" applyProtection="false">
      <alignment horizontal="general" vertical="bottom" textRotation="0" wrapText="false" indent="0" shrinkToFit="false"/>
      <protection locked="true" hidden="false"/>
    </xf>
    <xf numFmtId="173" fontId="22" fillId="0" borderId="2" xfId="0" applyFont="true" applyBorder="true" applyAlignment="true" applyProtection="false">
      <alignment horizontal="right" vertical="bottom" textRotation="0" wrapText="false" indent="0" shrinkToFit="false"/>
      <protection locked="true" hidden="false"/>
    </xf>
    <xf numFmtId="164" fontId="8" fillId="0" borderId="5" xfId="0" applyFont="true" applyBorder="true" applyAlignment="true" applyProtection="false">
      <alignment horizontal="general" vertical="top" textRotation="0" wrapText="true" indent="0" shrinkToFit="false"/>
      <protection locked="true" hidden="false"/>
    </xf>
    <xf numFmtId="164" fontId="7" fillId="0" borderId="5" xfId="0" applyFont="true" applyBorder="true" applyAlignment="true" applyProtection="false">
      <alignment horizontal="general" vertical="top" textRotation="0" wrapText="true" indent="0" shrinkToFit="false"/>
      <protection locked="true" hidden="false"/>
    </xf>
    <xf numFmtId="164" fontId="29" fillId="0" borderId="5" xfId="0" applyFont="true" applyBorder="true" applyAlignment="true" applyProtection="false">
      <alignment horizontal="general" vertical="top" textRotation="0" wrapText="true" indent="0" shrinkToFit="false"/>
      <protection locked="true" hidden="false"/>
    </xf>
    <xf numFmtId="164" fontId="30" fillId="0" borderId="0" xfId="0" applyFont="true" applyBorder="true" applyAlignment="true" applyProtection="false">
      <alignment horizontal="general" vertical="top" textRotation="0" wrapText="tru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22" fillId="0" borderId="2" xfId="0" applyFont="true" applyBorder="true" applyAlignment="true" applyProtection="false">
      <alignment horizontal="right" vertical="center" textRotation="0" wrapText="false" indent="0" shrinkToFit="false"/>
      <protection locked="true" hidden="false"/>
    </xf>
    <xf numFmtId="165" fontId="32" fillId="0" borderId="2" xfId="0" applyFont="true" applyBorder="true" applyAlignment="true" applyProtection="false">
      <alignment horizontal="right" vertical="center" textRotation="0" wrapText="false" indent="0" shrinkToFit="false"/>
      <protection locked="true" hidden="false"/>
    </xf>
    <xf numFmtId="164" fontId="33" fillId="0" borderId="2" xfId="0" applyFont="true" applyBorder="true" applyAlignment="true" applyProtection="false">
      <alignment horizontal="right" vertical="center" textRotation="0" wrapText="false" indent="0" shrinkToFit="false"/>
      <protection locked="true" hidden="false"/>
    </xf>
    <xf numFmtId="166" fontId="22" fillId="0" borderId="2" xfId="0" applyFont="true" applyBorder="true" applyAlignment="true" applyProtection="false">
      <alignment horizontal="right" vertical="center" textRotation="0" wrapText="false" indent="0" shrinkToFit="false"/>
      <protection locked="true" hidden="false"/>
    </xf>
    <xf numFmtId="166" fontId="32" fillId="0" borderId="2" xfId="0" applyFont="true" applyBorder="true" applyAlignment="true" applyProtection="false">
      <alignment horizontal="right" vertical="center" textRotation="0" wrapText="false" indent="0" shrinkToFit="false"/>
      <protection locked="true" hidden="false"/>
    </xf>
    <xf numFmtId="173" fontId="22" fillId="0" borderId="2" xfId="0" applyFont="true" applyBorder="true" applyAlignment="true" applyProtection="false">
      <alignment horizontal="right" vertical="center" textRotation="0" wrapText="false" indent="0" shrinkToFit="false"/>
      <protection locked="true" hidden="false"/>
    </xf>
    <xf numFmtId="173" fontId="32" fillId="0" borderId="2" xfId="0" applyFont="true" applyBorder="true" applyAlignment="true" applyProtection="false">
      <alignment horizontal="right" vertical="center" textRotation="0" wrapText="false" indent="0" shrinkToFit="false"/>
      <protection locked="true" hidden="false"/>
    </xf>
    <xf numFmtId="164" fontId="0" fillId="0" borderId="0" xfId="0" applyFont="fals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34"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Arial"/>
        <charset val="1"/>
        <family val="0"/>
        <color rgb="FFFCA5A5"/>
        <sz val="10"/>
      </font>
    </dxf>
    <dxf>
      <font>
        <name val="Arial"/>
        <charset val="1"/>
        <family val="0"/>
        <b val="1"/>
        <color rgb="FFFCA5A5"/>
        <sz val="10"/>
      </font>
    </dxf>
    <dxf>
      <font>
        <name val="Arial"/>
        <charset val="1"/>
        <family val="0"/>
        <b val="1"/>
        <color rgb="FFFCA5A5"/>
        <sz val="26"/>
      </font>
    </dxf>
    <dxf>
      <font>
        <name val="Arial"/>
        <charset val="1"/>
        <family val="0"/>
        <b val="1"/>
        <color rgb="FFFCA5A5"/>
        <sz val="11"/>
      </font>
    </dxf>
    <dxf>
      <font>
        <name val="Arial"/>
        <charset val="1"/>
        <family val="0"/>
        <b val="1"/>
        <color rgb="FFB91C1C"/>
        <sz val="9"/>
      </font>
    </dxf>
    <dxf>
      <font>
        <name val="Arial"/>
        <charset val="1"/>
        <family val="0"/>
        <color rgb="FF0F766E"/>
        <sz val="9"/>
      </font>
    </dxf>
    <dxf>
      <font>
        <name val="Arial"/>
        <charset val="1"/>
        <family val="0"/>
        <b val="1"/>
        <color rgb="FFB91C1C"/>
        <sz val="10"/>
      </font>
      <fill>
        <patternFill>
          <bgColor rgb="FFFEE2E2"/>
        </patternFill>
      </fill>
    </dxf>
    <dxf>
      <font>
        <name val="Arial"/>
        <charset val="1"/>
        <family val="0"/>
        <b val="1"/>
        <color rgb="FFB91C1C"/>
        <sz val="11"/>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766E"/>
      <rgbColor rgb="FFD9D9D9"/>
      <rgbColor rgb="FF878787"/>
      <rgbColor rgb="FF9999FF"/>
      <rgbColor rgb="FF993366"/>
      <rgbColor rgb="FFFEF9C3"/>
      <rgbColor rgb="FFE2E8F0"/>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8FAFC"/>
      <rgbColor rgb="FFCCFFCC"/>
      <rgbColor rgb="FFFFFF99"/>
      <rgbColor rgb="FF99CCFF"/>
      <rgbColor rgb="FFFCA5A5"/>
      <rgbColor rgb="FFCC99FF"/>
      <rgbColor rgb="FFFEE2E2"/>
      <rgbColor rgb="FF2563EB"/>
      <rgbColor rgb="FF14B8A6"/>
      <rgbColor rgb="FF99CC00"/>
      <rgbColor rgb="FFFFCC00"/>
      <rgbColor rgb="FFFF9900"/>
      <rgbColor rgb="FFFF6600"/>
      <rgbColor rgb="FF64748B"/>
      <rgbColor rgb="FF94A3B8"/>
      <rgbColor rgb="FF003366"/>
      <rgbColor rgb="FF339966"/>
      <rgbColor rgb="FF0F172A"/>
      <rgbColor rgb="FF333300"/>
      <rgbColor rgb="FFB91C1C"/>
      <rgbColor rgb="FF993366"/>
      <rgbColor rgb="FF334155"/>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Gross margin by product</a:t>
            </a:r>
          </a:p>
        </c:rich>
      </c:tx>
      <c:overlay val="0"/>
      <c:spPr>
        <a:noFill/>
        <a:ln w="0">
          <a:noFill/>
        </a:ln>
      </c:spPr>
    </c:title>
    <c:autoTitleDeleted val="0"/>
    <c:plotArea>
      <c:barChart>
        <c:barDir val="bar"/>
        <c:grouping val="clustered"/>
        <c:varyColors val="0"/>
        <c:ser>
          <c:idx val="0"/>
          <c:order val="0"/>
          <c:spPr>
            <a:solidFill>
              <a:srgbClr val="14b8a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'Product Mix'!$B$8:$B$11</c:f>
              <c:strCache>
                <c:ptCount val="4"/>
                <c:pt idx="0">
                  <c:v>Premium range</c:v>
                </c:pt>
                <c:pt idx="1">
                  <c:v>Standard range</c:v>
                </c:pt>
                <c:pt idx="2">
                  <c:v>Clearance line</c:v>
                </c:pt>
                <c:pt idx="3">
                  <c:v>Accessories</c:v>
                </c:pt>
              </c:strCache>
            </c:strRef>
          </c:cat>
          <c:val>
            <c:numRef>
              <c:f>'Product Mix'!$I$8:$I$11</c:f>
              <c:numCache>
                <c:formatCode>0.00%;[RED]\-0.00%;0.00%</c:formatCode>
                <c:ptCount val="4"/>
                <c:pt idx="0">
                  <c:v>0.44</c:v>
                </c:pt>
                <c:pt idx="1">
                  <c:v>0.333333333333333</c:v>
                </c:pt>
                <c:pt idx="2">
                  <c:v>-0.0666666666666667</c:v>
                </c:pt>
                <c:pt idx="3">
                  <c:v>0.64</c:v>
                </c:pt>
              </c:numCache>
            </c:numRef>
          </c:val>
        </c:ser>
        <c:gapWidth val="150"/>
        <c:overlap val="0"/>
        <c:axId val="61757752"/>
        <c:axId val="37796532"/>
      </c:barChart>
      <c:catAx>
        <c:axId val="6175775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7796532"/>
        <c:crosses val="autoZero"/>
        <c:auto val="1"/>
        <c:lblAlgn val="ctr"/>
        <c:lblOffset val="100"/>
        <c:noMultiLvlLbl val="0"/>
      </c:catAx>
      <c:valAx>
        <c:axId val="3779653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75775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40</xdr:row>
      <xdr:rowOff>0</xdr:rowOff>
    </xdr:from>
    <xdr:to>
      <xdr:col>6</xdr:col>
      <xdr:colOff>684720</xdr:colOff>
      <xdr:row>54</xdr:row>
      <xdr:rowOff>32400</xdr:rowOff>
    </xdr:to>
    <xdr:graphicFrame>
      <xdr:nvGraphicFramePr>
        <xdr:cNvPr id="0" name="Chart 1"/>
        <xdr:cNvGraphicFramePr/>
      </xdr:nvGraphicFramePr>
      <xdr:xfrm>
        <a:off x="211320" y="7962840"/>
        <a:ext cx="57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172A"/>
    <pageSetUpPr fitToPage="true"/>
  </sheetPr>
  <dimension ref="A1:D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74"/>
    <col collapsed="false" customWidth="true" hidden="false" outlineLevel="0" max="4" min="4" style="0" width="3"/>
  </cols>
  <sheetData>
    <row r="1" customFormat="false" ht="7.5" hidden="false" customHeight="true" outlineLevel="0" collapsed="false">
      <c r="A1" s="1"/>
      <c r="B1" s="1"/>
      <c r="C1" s="1"/>
      <c r="D1" s="1"/>
    </row>
    <row r="2" customFormat="false" ht="30" hidden="false" customHeight="true" outlineLevel="0" collapsed="false">
      <c r="A2" s="1"/>
      <c r="B2" s="2" t="s">
        <v>0</v>
      </c>
      <c r="C2" s="1"/>
      <c r="D2" s="1"/>
    </row>
    <row r="3" customFormat="false" ht="19.5" hidden="false" customHeight="true" outlineLevel="0" collapsed="false">
      <c r="A3" s="1"/>
      <c r="B3" s="3" t="s">
        <v>1</v>
      </c>
      <c r="C3" s="1"/>
      <c r="D3" s="1"/>
    </row>
    <row r="4" customFormat="false" ht="7.5" hidden="false" customHeight="true" outlineLevel="0" collapsed="false">
      <c r="A4" s="1"/>
      <c r="B4" s="1"/>
      <c r="C4" s="1"/>
      <c r="D4" s="1"/>
    </row>
    <row r="5" customFormat="false" ht="3" hidden="false" customHeight="true" outlineLevel="0" collapsed="false">
      <c r="A5" s="4"/>
      <c r="B5" s="4"/>
      <c r="C5" s="4"/>
      <c r="D5" s="4"/>
    </row>
    <row r="7" customFormat="false" ht="19.5" hidden="false" customHeight="true" outlineLevel="0" collapsed="false">
      <c r="B7" s="5" t="s">
        <v>2</v>
      </c>
      <c r="C7" s="6"/>
    </row>
    <row r="8" customFormat="false" ht="45.75" hidden="false" customHeight="true" outlineLevel="0" collapsed="false">
      <c r="B8" s="7" t="s">
        <v>3</v>
      </c>
      <c r="C8" s="7"/>
    </row>
    <row r="10" customFormat="false" ht="19.5" hidden="false" customHeight="true" outlineLevel="0" collapsed="false">
      <c r="B10" s="5" t="s">
        <v>4</v>
      </c>
      <c r="C10" s="6"/>
    </row>
    <row r="11" customFormat="false" ht="18" hidden="false" customHeight="true" outlineLevel="0" collapsed="false">
      <c r="B11" s="8" t="s">
        <v>5</v>
      </c>
      <c r="C11" s="9" t="s">
        <v>6</v>
      </c>
    </row>
    <row r="12" customFormat="false" ht="30" hidden="false" customHeight="true" outlineLevel="0" collapsed="false">
      <c r="B12" s="8" t="s">
        <v>7</v>
      </c>
      <c r="C12" s="9" t="s">
        <v>8</v>
      </c>
    </row>
    <row r="13" customFormat="false" ht="30" hidden="false" customHeight="true" outlineLevel="0" collapsed="false">
      <c r="B13" s="8" t="s">
        <v>9</v>
      </c>
      <c r="C13" s="9" t="s">
        <v>10</v>
      </c>
    </row>
    <row r="14" customFormat="false" ht="30" hidden="false" customHeight="true" outlineLevel="0" collapsed="false">
      <c r="B14" s="8" t="s">
        <v>11</v>
      </c>
      <c r="C14" s="9" t="s">
        <v>12</v>
      </c>
    </row>
    <row r="16" customFormat="false" ht="19.5" hidden="false" customHeight="true" outlineLevel="0" collapsed="false">
      <c r="B16" s="5" t="s">
        <v>13</v>
      </c>
      <c r="C16" s="6"/>
    </row>
    <row r="17" customFormat="false" ht="18" hidden="false" customHeight="true" outlineLevel="0" collapsed="false">
      <c r="B17" s="8" t="s">
        <v>14</v>
      </c>
      <c r="C17" s="9" t="s">
        <v>15</v>
      </c>
    </row>
    <row r="18" customFormat="false" ht="45" hidden="false" customHeight="true" outlineLevel="0" collapsed="false">
      <c r="B18" s="8" t="s">
        <v>16</v>
      </c>
      <c r="C18" s="9" t="s">
        <v>17</v>
      </c>
    </row>
    <row r="20" customFormat="false" ht="19.5" hidden="false" customHeight="true" outlineLevel="0" collapsed="false">
      <c r="B20" s="5" t="s">
        <v>18</v>
      </c>
      <c r="C20" s="6"/>
    </row>
    <row r="21" customFormat="false" ht="19.5" hidden="false" customHeight="true" outlineLevel="0" collapsed="false">
      <c r="B21" s="10" t="s">
        <v>19</v>
      </c>
      <c r="C21" s="9" t="s">
        <v>20</v>
      </c>
    </row>
    <row r="22" customFormat="false" ht="19.5" hidden="false" customHeight="true" outlineLevel="0" collapsed="false">
      <c r="B22" s="11" t="s">
        <v>21</v>
      </c>
      <c r="C22" s="9" t="s">
        <v>22</v>
      </c>
    </row>
    <row r="23" customFormat="false" ht="19.5" hidden="false" customHeight="true" outlineLevel="0" collapsed="false">
      <c r="B23" s="12" t="s">
        <v>23</v>
      </c>
      <c r="C23" s="9" t="s">
        <v>24</v>
      </c>
    </row>
    <row r="24" customFormat="false" ht="19.5" hidden="false" customHeight="true" outlineLevel="0" collapsed="false">
      <c r="B24" s="13" t="s">
        <v>25</v>
      </c>
      <c r="C24" s="9" t="s">
        <v>26</v>
      </c>
    </row>
    <row r="26" customFormat="false" ht="19.5" hidden="false" customHeight="true" outlineLevel="0" collapsed="false">
      <c r="B26" s="5" t="s">
        <v>27</v>
      </c>
      <c r="C26" s="6"/>
    </row>
    <row r="27" customFormat="false" ht="30" hidden="false" customHeight="true" outlineLevel="0" collapsed="false">
      <c r="B27" s="8" t="s">
        <v>28</v>
      </c>
      <c r="C27" s="9" t="s">
        <v>29</v>
      </c>
    </row>
    <row r="28" customFormat="false" ht="30" hidden="false" customHeight="true" outlineLevel="0" collapsed="false">
      <c r="B28" s="8" t="s">
        <v>30</v>
      </c>
      <c r="C28" s="9" t="s">
        <v>31</v>
      </c>
    </row>
    <row r="29" customFormat="false" ht="18" hidden="false" customHeight="true" outlineLevel="0" collapsed="false">
      <c r="B29" s="8" t="s">
        <v>32</v>
      </c>
      <c r="C29" s="9" t="s">
        <v>33</v>
      </c>
    </row>
    <row r="30" customFormat="false" ht="18" hidden="false" customHeight="true" outlineLevel="0" collapsed="false">
      <c r="B30" s="8" t="s">
        <v>34</v>
      </c>
      <c r="C30" s="9" t="s">
        <v>35</v>
      </c>
    </row>
    <row r="32" customFormat="false" ht="19.5" hidden="false" customHeight="true" outlineLevel="0" collapsed="false">
      <c r="B32" s="5" t="s">
        <v>36</v>
      </c>
      <c r="C32" s="6"/>
    </row>
    <row r="33" customFormat="false" ht="30" hidden="false" customHeight="true" outlineLevel="0" collapsed="false">
      <c r="B33" s="7" t="s">
        <v>37</v>
      </c>
      <c r="C33" s="7"/>
    </row>
    <row r="34" customFormat="false" ht="18" hidden="false" customHeight="true" outlineLevel="0" collapsed="false">
      <c r="B34" s="7" t="s">
        <v>38</v>
      </c>
      <c r="C34" s="7"/>
    </row>
    <row r="35" customFormat="false" ht="18" hidden="false" customHeight="true" outlineLevel="0" collapsed="false">
      <c r="B35" s="7" t="s">
        <v>39</v>
      </c>
      <c r="C35" s="7"/>
    </row>
    <row r="36" customFormat="false" ht="18" hidden="false" customHeight="true" outlineLevel="0" collapsed="false">
      <c r="B36" s="7" t="s">
        <v>40</v>
      </c>
      <c r="C36" s="7"/>
    </row>
    <row r="37" customFormat="false" ht="18" hidden="false" customHeight="true" outlineLevel="0" collapsed="false">
      <c r="B37" s="7" t="s">
        <v>41</v>
      </c>
      <c r="C37" s="7"/>
    </row>
    <row r="39" customFormat="false" ht="19.5" hidden="false" customHeight="true" outlineLevel="0" collapsed="false">
      <c r="B39" s="5" t="s">
        <v>42</v>
      </c>
      <c r="C39" s="6"/>
    </row>
    <row r="40" customFormat="false" ht="18" hidden="false" customHeight="true" outlineLevel="0" collapsed="false">
      <c r="B40" s="14" t="s">
        <v>43</v>
      </c>
      <c r="C40" s="9" t="s">
        <v>44</v>
      </c>
    </row>
    <row r="41" customFormat="false" ht="18" hidden="false" customHeight="true" outlineLevel="0" collapsed="false">
      <c r="B41" s="14" t="s">
        <v>45</v>
      </c>
      <c r="C41" s="9" t="s">
        <v>46</v>
      </c>
    </row>
    <row r="42" customFormat="false" ht="18" hidden="false" customHeight="true" outlineLevel="0" collapsed="false">
      <c r="B42" s="14" t="s">
        <v>47</v>
      </c>
      <c r="C42" s="9" t="s">
        <v>48</v>
      </c>
    </row>
    <row r="43" customFormat="false" ht="18" hidden="false" customHeight="true" outlineLevel="0" collapsed="false">
      <c r="B43" s="14" t="s">
        <v>49</v>
      </c>
      <c r="C43" s="9" t="s">
        <v>50</v>
      </c>
    </row>
    <row r="44" customFormat="false" ht="18" hidden="false" customHeight="true" outlineLevel="0" collapsed="false">
      <c r="B44" s="14" t="s">
        <v>51</v>
      </c>
      <c r="C44" s="9" t="s">
        <v>52</v>
      </c>
    </row>
    <row r="45" customFormat="false" ht="18" hidden="false" customHeight="true" outlineLevel="0" collapsed="false">
      <c r="B45" s="14" t="s">
        <v>53</v>
      </c>
      <c r="C45" s="9" t="s">
        <v>54</v>
      </c>
    </row>
    <row r="47" customFormat="false" ht="30" hidden="false" customHeight="true" outlineLevel="0" collapsed="false">
      <c r="B47" s="15" t="s">
        <v>55</v>
      </c>
      <c r="C47" s="15"/>
    </row>
  </sheetData>
  <mergeCells count="7">
    <mergeCell ref="B8:C8"/>
    <mergeCell ref="B33:C33"/>
    <mergeCell ref="B34:C34"/>
    <mergeCell ref="B35:C35"/>
    <mergeCell ref="B36:C36"/>
    <mergeCell ref="B37:C37"/>
    <mergeCell ref="B47:C47"/>
  </mergeCells>
  <hyperlinks>
    <hyperlink ref="B40" location="'Gross Margin Calculator'!A1" display="Gross Margin Calculator"/>
    <hyperlink ref="B41" location="'Product Mix'!A1" display="Product Mix"/>
    <hyperlink ref="B42" location="'Discount Impact'!A1" display="Discount Impact"/>
    <hyperlink ref="B43" location="'Worked Examples'!A1" display="Worked Examples"/>
    <hyperlink ref="B44" location="'Formula Guide'!A1" display="Formula Guide"/>
    <hyperlink ref="B45" location="'Checks'!A1" display="Checks"/>
  </hyperlink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563EB"/>
    <pageSetUpPr fitToPage="true"/>
  </sheetPr>
  <dimension ref="A1:J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6"/>
    <col collapsed="false" customWidth="true" hidden="false" outlineLevel="0" max="6" min="4" style="0" width="18"/>
    <col collapsed="false" customWidth="true" hidden="false" outlineLevel="0" max="7" min="7" style="0" width="3"/>
    <col collapsed="false" customWidth="true" hidden="false" outlineLevel="0" max="8" min="8" style="0" width="38"/>
    <col collapsed="false" customWidth="true" hidden="false" outlineLevel="0" max="9" min="9" style="0" width="20"/>
    <col collapsed="false" customWidth="true" hidden="false" outlineLevel="0" max="10" min="10" style="0" width="3"/>
  </cols>
  <sheetData>
    <row r="1" customFormat="false" ht="7.5" hidden="false" customHeight="true" outlineLevel="0" collapsed="false">
      <c r="A1" s="1"/>
      <c r="B1" s="1"/>
      <c r="C1" s="1"/>
      <c r="D1" s="1"/>
      <c r="E1" s="1"/>
      <c r="F1" s="1"/>
      <c r="G1" s="1"/>
      <c r="H1" s="1"/>
      <c r="I1" s="1"/>
      <c r="J1" s="1"/>
    </row>
    <row r="2" customFormat="false" ht="30" hidden="false" customHeight="true" outlineLevel="0" collapsed="false">
      <c r="A2" s="1"/>
      <c r="B2" s="2" t="s">
        <v>43</v>
      </c>
      <c r="C2" s="1"/>
      <c r="D2" s="1"/>
      <c r="E2" s="1"/>
      <c r="F2" s="1"/>
      <c r="G2" s="1"/>
      <c r="H2" s="1"/>
      <c r="I2" s="1"/>
      <c r="J2" s="1"/>
    </row>
    <row r="3" customFormat="false" ht="19.5" hidden="false" customHeight="true" outlineLevel="0" collapsed="false">
      <c r="A3" s="1"/>
      <c r="B3" s="3" t="s">
        <v>56</v>
      </c>
      <c r="C3" s="1"/>
      <c r="D3" s="1"/>
      <c r="E3" s="1"/>
      <c r="F3" s="1"/>
      <c r="G3" s="1"/>
      <c r="H3" s="1"/>
      <c r="I3" s="1"/>
      <c r="J3" s="1"/>
    </row>
    <row r="4" customFormat="false" ht="7.5" hidden="false" customHeight="true" outlineLevel="0" collapsed="false">
      <c r="A4" s="1"/>
      <c r="B4" s="1"/>
      <c r="C4" s="1"/>
      <c r="D4" s="1"/>
      <c r="E4" s="1"/>
      <c r="F4" s="1"/>
      <c r="G4" s="1"/>
      <c r="H4" s="1"/>
      <c r="I4" s="1"/>
      <c r="J4" s="1"/>
    </row>
    <row r="5" customFormat="false" ht="3" hidden="false" customHeight="true" outlineLevel="0" collapsed="false">
      <c r="A5" s="4"/>
      <c r="B5" s="4"/>
      <c r="C5" s="4"/>
      <c r="D5" s="4"/>
      <c r="E5" s="4"/>
      <c r="F5" s="4"/>
      <c r="G5" s="4"/>
      <c r="H5" s="4"/>
      <c r="I5" s="4"/>
      <c r="J5" s="4"/>
    </row>
    <row r="7" customFormat="false" ht="19.5" hidden="false" customHeight="true" outlineLevel="0" collapsed="false">
      <c r="B7" s="5" t="s">
        <v>57</v>
      </c>
      <c r="C7" s="6"/>
      <c r="D7" s="6"/>
      <c r="E7" s="6"/>
      <c r="F7" s="6"/>
      <c r="H7" s="16"/>
      <c r="I7" s="17"/>
    </row>
    <row r="8" customFormat="false" ht="15" hidden="false" customHeight="true" outlineLevel="0" collapsed="false">
      <c r="B8" s="18" t="s">
        <v>14</v>
      </c>
      <c r="D8" s="19" t="n">
        <v>250000</v>
      </c>
      <c r="E8" s="20" t="s">
        <v>58</v>
      </c>
      <c r="F8" s="20"/>
      <c r="H8" s="21" t="s">
        <v>59</v>
      </c>
      <c r="I8" s="17"/>
    </row>
    <row r="9" customFormat="false" ht="15" hidden="false" customHeight="false" outlineLevel="0" collapsed="false">
      <c r="H9" s="16"/>
      <c r="I9" s="17"/>
    </row>
    <row r="10" customFormat="false" ht="15" hidden="false" customHeight="true" outlineLevel="0" collapsed="false">
      <c r="B10" s="18" t="s">
        <v>16</v>
      </c>
      <c r="D10" s="19" t="n">
        <v>160000</v>
      </c>
      <c r="E10" s="20" t="s">
        <v>60</v>
      </c>
      <c r="F10" s="20"/>
      <c r="H10" s="22" t="s">
        <v>28</v>
      </c>
      <c r="I10" s="17"/>
    </row>
    <row r="11" customFormat="false" ht="15" hidden="false" customHeight="false" outlineLevel="0" collapsed="false">
      <c r="H11" s="23" t="n">
        <f aca="false">IF(AND(ISNUMBER(Revenue),N(Revenue)&gt;0),(Revenue-N(COGS))/Revenue,"—")</f>
        <v>0.36</v>
      </c>
      <c r="I11" s="23"/>
    </row>
    <row r="12" customFormat="false" ht="15" hidden="false" customHeight="false" outlineLevel="0" collapsed="false">
      <c r="H12" s="23"/>
      <c r="I12" s="23"/>
    </row>
    <row r="13" customFormat="false" ht="19.5" hidden="false" customHeight="true" outlineLevel="0" collapsed="false">
      <c r="B13" s="5" t="s">
        <v>61</v>
      </c>
      <c r="C13" s="6"/>
      <c r="D13" s="6"/>
      <c r="E13" s="6"/>
      <c r="F13" s="6"/>
      <c r="H13" s="16"/>
      <c r="I13" s="17"/>
    </row>
    <row r="14" customFormat="false" ht="18" hidden="false" customHeight="true" outlineLevel="0" collapsed="false">
      <c r="B14" s="24"/>
      <c r="C14" s="25" t="s">
        <v>62</v>
      </c>
      <c r="D14" s="25" t="s">
        <v>63</v>
      </c>
      <c r="E14" s="25" t="s">
        <v>64</v>
      </c>
      <c r="H14" s="26" t="s">
        <v>65</v>
      </c>
      <c r="I14" s="27" t="n">
        <f aca="false">IF(AND(ISNUMBER(Revenue),N(Revenue)&gt;0),Revenue-N(COGS),"—")</f>
        <v>90000</v>
      </c>
    </row>
    <row r="15" customFormat="false" ht="15" hidden="false" customHeight="false" outlineLevel="0" collapsed="false">
      <c r="B15" s="18" t="s">
        <v>14</v>
      </c>
      <c r="C15" s="28" t="n">
        <f aca="false">IF(AND(ISNUMBER(Revenue),N(Revenue)&gt;0),Revenue,"—")</f>
        <v>250000</v>
      </c>
      <c r="D15" s="28" t="n">
        <f aca="false">IF(AND(ISNUMBER(Revenue),N(Revenue)&gt;0),(Revenue)/Revenue*100,"—")</f>
        <v>100</v>
      </c>
      <c r="E15" s="29" t="n">
        <f aca="false">IF(AND(ISNUMBER(Revenue),N(Revenue)&gt;0),(Revenue)/Revenue,"—")</f>
        <v>1</v>
      </c>
      <c r="H15" s="26" t="s">
        <v>30</v>
      </c>
      <c r="I15" s="30" t="n">
        <f aca="false">IF(AND(ISNUMBER(Revenue),N(Revenue)&gt;0),IF(N(COGS)&gt;0,(Revenue-N(COGS))/N(COGS),"—"),"—")</f>
        <v>0.5625</v>
      </c>
    </row>
    <row r="16" customFormat="false" ht="15" hidden="false" customHeight="false" outlineLevel="0" collapsed="false">
      <c r="B16" s="18" t="s">
        <v>16</v>
      </c>
      <c r="C16" s="28" t="n">
        <f aca="false">IF(AND(ISNUMBER(Revenue),N(Revenue)&gt;0),N(COGS),"—")</f>
        <v>160000</v>
      </c>
      <c r="D16" s="28" t="n">
        <f aca="false">IF(AND(ISNUMBER(Revenue),N(Revenue)&gt;0),(N(COGS))/Revenue*100,"—")</f>
        <v>64</v>
      </c>
      <c r="E16" s="29" t="n">
        <f aca="false">IF(AND(ISNUMBER(Revenue),N(Revenue)&gt;0),(N(COGS))/Revenue,"—")</f>
        <v>0.64</v>
      </c>
      <c r="H16" s="26" t="s">
        <v>66</v>
      </c>
      <c r="I16" s="30" t="n">
        <f aca="false">IF(AND(ISNUMBER(Revenue),N(Revenue)&gt;0),N(COGS)/Revenue,"—")</f>
        <v>0.64</v>
      </c>
    </row>
    <row r="17" customFormat="false" ht="15" hidden="false" customHeight="false" outlineLevel="0" collapsed="false">
      <c r="B17" s="31" t="s">
        <v>65</v>
      </c>
      <c r="C17" s="32" t="n">
        <f aca="false">IF(AND(ISNUMBER(Revenue),N(Revenue)&gt;0),Revenue-N(COGS),"—")</f>
        <v>90000</v>
      </c>
      <c r="D17" s="32" t="n">
        <f aca="false">IF(AND(ISNUMBER(Revenue),N(Revenue)&gt;0),(Revenue-N(COGS))/Revenue*100,"—")</f>
        <v>36</v>
      </c>
      <c r="E17" s="33" t="n">
        <f aca="false">IF(AND(ISNUMBER(Revenue),N(Revenue)&gt;0),(Revenue-N(COGS))/Revenue,"—")</f>
        <v>0.36</v>
      </c>
      <c r="H17" s="16"/>
      <c r="I17" s="17"/>
    </row>
    <row r="18" customFormat="false" ht="15" hidden="false" customHeight="false" outlineLevel="0" collapsed="false">
      <c r="H18" s="34" t="str">
        <f aca="false">IF(AND(ISNUMBER(Revenue),N(Revenue)&gt;0),"Gross margin divides gross profit by revenue.","")</f>
        <v>Gross margin divides gross profit by revenue.</v>
      </c>
      <c r="I18" s="34"/>
    </row>
    <row r="19" customFormat="false" ht="19.5" hidden="false" customHeight="true" outlineLevel="0" collapsed="false">
      <c r="B19" s="5" t="s">
        <v>67</v>
      </c>
      <c r="C19" s="6"/>
      <c r="D19" s="6"/>
      <c r="E19" s="6"/>
      <c r="F19" s="6"/>
      <c r="H19" s="16"/>
      <c r="I19" s="17"/>
    </row>
    <row r="20" customFormat="false" ht="30" hidden="false" customHeight="true" outlineLevel="0" collapsed="false">
      <c r="B20" s="24" t="s">
        <v>68</v>
      </c>
      <c r="C20" s="25" t="s">
        <v>14</v>
      </c>
      <c r="D20" s="25" t="s">
        <v>65</v>
      </c>
      <c r="E20" s="25" t="s">
        <v>28</v>
      </c>
      <c r="F20" s="25" t="s">
        <v>69</v>
      </c>
    </row>
    <row r="21" customFormat="false" ht="19.5" hidden="false" customHeight="true" outlineLevel="0" collapsed="false">
      <c r="B21" s="35" t="n">
        <v>-0.2</v>
      </c>
      <c r="C21" s="28" t="n">
        <f aca="false">IF(AND(ISNUMBER(Revenue),N(Revenue)&gt;0),Revenue*(1+B21),"—")</f>
        <v>200000</v>
      </c>
      <c r="D21" s="28" t="n">
        <f aca="false">IF(AND(ISNUMBER(Revenue),N(Revenue)&gt;0),C21-N(COGS),"—")</f>
        <v>40000</v>
      </c>
      <c r="E21" s="29" t="n">
        <f aca="false">IF(AND(AND(ISNUMBER(Revenue),N(Revenue)&gt;0),ISNUMBER(C21)),IF(C21&gt;0,D21/C21,"—"),"—")</f>
        <v>0.2</v>
      </c>
      <c r="F21" s="28" t="n">
        <f aca="false">IF(AND(ISNUMBER(Revenue),N(Revenue)&gt;0),D21-(Revenue-N(COGS)),"—")</f>
        <v>-50000</v>
      </c>
      <c r="H21" s="5" t="s">
        <v>70</v>
      </c>
      <c r="I21" s="6"/>
    </row>
    <row r="22" customFormat="false" ht="15" hidden="false" customHeight="false" outlineLevel="0" collapsed="false">
      <c r="B22" s="35" t="n">
        <v>-0.15</v>
      </c>
      <c r="C22" s="28" t="n">
        <f aca="false">IF(AND(ISNUMBER(Revenue),N(Revenue)&gt;0),Revenue*(1+B22),"—")</f>
        <v>212500</v>
      </c>
      <c r="D22" s="28" t="n">
        <f aca="false">IF(AND(ISNUMBER(Revenue),N(Revenue)&gt;0),C22-N(COGS),"—")</f>
        <v>52500</v>
      </c>
      <c r="E22" s="29" t="n">
        <f aca="false">IF(AND(AND(ISNUMBER(Revenue),N(Revenue)&gt;0),ISNUMBER(C22)),IF(C22&gt;0,D22/C22,"—"),"—")</f>
        <v>0.247058823529412</v>
      </c>
      <c r="F22" s="28" t="n">
        <f aca="false">IF(AND(ISNUMBER(Revenue),N(Revenue)&gt;0),D22-(Revenue-N(COGS)),"—")</f>
        <v>-37500</v>
      </c>
      <c r="H22" s="36" t="str">
        <f aca="false">IF(AND(ISNUMBER(Revenue),N(Revenue)&gt;0),IF(GM_Result&gt;=0,TEXT(GM_Result*100,"0.00")&amp;" cents of every sales dollar is left after the direct costs of delivering it. Everything else — rent, salaries, marketing, profit — has to come out of that.","A negative gross margin means you are selling below what the goods cost you: revenue of "&amp;TEXT(Revenue,"#,##0.00")&amp;" against direct costs of "&amp;TEXT(N(COGS),"#,##0.00")&amp;". Every extra sale at these prices makes the loss bigger, not smaller."),"Enter your revenue above to see a result.")</f>
        <v>36.00 cents of every sales dollar is left after the direct costs of delivering it. Everything else — rent, salaries, marketing, profit — has to come out of that.</v>
      </c>
      <c r="I22" s="36"/>
    </row>
    <row r="23" customFormat="false" ht="15" hidden="false" customHeight="false" outlineLevel="0" collapsed="false">
      <c r="B23" s="35" t="n">
        <v>-0.1</v>
      </c>
      <c r="C23" s="28" t="n">
        <f aca="false">IF(AND(ISNUMBER(Revenue),N(Revenue)&gt;0),Revenue*(1+B23),"—")</f>
        <v>225000</v>
      </c>
      <c r="D23" s="28" t="n">
        <f aca="false">IF(AND(ISNUMBER(Revenue),N(Revenue)&gt;0),C23-N(COGS),"—")</f>
        <v>65000</v>
      </c>
      <c r="E23" s="29" t="n">
        <f aca="false">IF(AND(AND(ISNUMBER(Revenue),N(Revenue)&gt;0),ISNUMBER(C23)),IF(C23&gt;0,D23/C23,"—"),"—")</f>
        <v>0.288888888888889</v>
      </c>
      <c r="F23" s="28" t="n">
        <f aca="false">IF(AND(ISNUMBER(Revenue),N(Revenue)&gt;0),D23-(Revenue-N(COGS)),"—")</f>
        <v>-25000</v>
      </c>
      <c r="H23" s="36"/>
      <c r="I23" s="36"/>
    </row>
    <row r="24" customFormat="false" ht="15" hidden="false" customHeight="false" outlineLevel="0" collapsed="false">
      <c r="B24" s="35" t="n">
        <v>-0.05</v>
      </c>
      <c r="C24" s="28" t="n">
        <f aca="false">IF(AND(ISNUMBER(Revenue),N(Revenue)&gt;0),Revenue*(1+B24),"—")</f>
        <v>237500</v>
      </c>
      <c r="D24" s="28" t="n">
        <f aca="false">IF(AND(ISNUMBER(Revenue),N(Revenue)&gt;0),C24-N(COGS),"—")</f>
        <v>77500</v>
      </c>
      <c r="E24" s="29" t="n">
        <f aca="false">IF(AND(AND(ISNUMBER(Revenue),N(Revenue)&gt;0),ISNUMBER(C24)),IF(C24&gt;0,D24/C24,"—"),"—")</f>
        <v>0.326315789473684</v>
      </c>
      <c r="F24" s="28" t="n">
        <f aca="false">IF(AND(ISNUMBER(Revenue),N(Revenue)&gt;0),D24-(Revenue-N(COGS)),"—")</f>
        <v>-12500</v>
      </c>
      <c r="H24" s="36"/>
      <c r="I24" s="36"/>
    </row>
    <row r="25" customFormat="false" ht="15" hidden="false" customHeight="false" outlineLevel="0" collapsed="false">
      <c r="B25" s="37" t="n">
        <v>0</v>
      </c>
      <c r="C25" s="28" t="n">
        <f aca="false">IF(AND(ISNUMBER(Revenue),N(Revenue)&gt;0),Revenue*(1+B25),"—")</f>
        <v>250000</v>
      </c>
      <c r="D25" s="28" t="n">
        <f aca="false">IF(AND(ISNUMBER(Revenue),N(Revenue)&gt;0),C25-N(COGS),"—")</f>
        <v>90000</v>
      </c>
      <c r="E25" s="29" t="n">
        <f aca="false">IF(AND(AND(ISNUMBER(Revenue),N(Revenue)&gt;0),ISNUMBER(C25)),IF(C25&gt;0,D25/C25,"—"),"—")</f>
        <v>0.36</v>
      </c>
      <c r="F25" s="28" t="n">
        <f aca="false">IF(AND(ISNUMBER(Revenue),N(Revenue)&gt;0),D25-(Revenue-N(COGS)),"—")</f>
        <v>0</v>
      </c>
      <c r="H25" s="36"/>
      <c r="I25" s="36"/>
    </row>
    <row r="26" customFormat="false" ht="15" hidden="false" customHeight="false" outlineLevel="0" collapsed="false">
      <c r="B26" s="35" t="n">
        <v>0.05</v>
      </c>
      <c r="C26" s="28" t="n">
        <f aca="false">IF(AND(ISNUMBER(Revenue),N(Revenue)&gt;0),Revenue*(1+B26),"—")</f>
        <v>262500</v>
      </c>
      <c r="D26" s="28" t="n">
        <f aca="false">IF(AND(ISNUMBER(Revenue),N(Revenue)&gt;0),C26-N(COGS),"—")</f>
        <v>102500</v>
      </c>
      <c r="E26" s="29" t="n">
        <f aca="false">IF(AND(AND(ISNUMBER(Revenue),N(Revenue)&gt;0),ISNUMBER(C26)),IF(C26&gt;0,D26/C26,"—"),"—")</f>
        <v>0.390476190476191</v>
      </c>
      <c r="F26" s="28" t="n">
        <f aca="false">IF(AND(ISNUMBER(Revenue),N(Revenue)&gt;0),D26-(Revenue-N(COGS)),"—")</f>
        <v>12500</v>
      </c>
      <c r="H26" s="36"/>
      <c r="I26" s="36"/>
    </row>
    <row r="27" customFormat="false" ht="15" hidden="false" customHeight="false" outlineLevel="0" collapsed="false">
      <c r="B27" s="35" t="n">
        <v>0.1</v>
      </c>
      <c r="C27" s="28" t="n">
        <f aca="false">IF(AND(ISNUMBER(Revenue),N(Revenue)&gt;0),Revenue*(1+B27),"—")</f>
        <v>275000</v>
      </c>
      <c r="D27" s="28" t="n">
        <f aca="false">IF(AND(ISNUMBER(Revenue),N(Revenue)&gt;0),C27-N(COGS),"—")</f>
        <v>115000</v>
      </c>
      <c r="E27" s="29" t="n">
        <f aca="false">IF(AND(AND(ISNUMBER(Revenue),N(Revenue)&gt;0),ISNUMBER(C27)),IF(C27&gt;0,D27/C27,"—"),"—")</f>
        <v>0.418181818181818</v>
      </c>
      <c r="F27" s="28" t="n">
        <f aca="false">IF(AND(ISNUMBER(Revenue),N(Revenue)&gt;0),D27-(Revenue-N(COGS)),"—")</f>
        <v>25000</v>
      </c>
      <c r="H27" s="36"/>
      <c r="I27" s="36"/>
    </row>
    <row r="28" customFormat="false" ht="15" hidden="false" customHeight="false" outlineLevel="0" collapsed="false">
      <c r="B28" s="35" t="n">
        <v>0.15</v>
      </c>
      <c r="C28" s="28" t="n">
        <f aca="false">IF(AND(ISNUMBER(Revenue),N(Revenue)&gt;0),Revenue*(1+B28),"—")</f>
        <v>287500</v>
      </c>
      <c r="D28" s="28" t="n">
        <f aca="false">IF(AND(ISNUMBER(Revenue),N(Revenue)&gt;0),C28-N(COGS),"—")</f>
        <v>127500</v>
      </c>
      <c r="E28" s="29" t="n">
        <f aca="false">IF(AND(AND(ISNUMBER(Revenue),N(Revenue)&gt;0),ISNUMBER(C28)),IF(C28&gt;0,D28/C28,"—"),"—")</f>
        <v>0.443478260869565</v>
      </c>
      <c r="F28" s="28" t="n">
        <f aca="false">IF(AND(ISNUMBER(Revenue),N(Revenue)&gt;0),D28-(Revenue-N(COGS)),"—")</f>
        <v>37500</v>
      </c>
    </row>
    <row r="29" customFormat="false" ht="19.5" hidden="false" customHeight="true" outlineLevel="0" collapsed="false">
      <c r="B29" s="35" t="n">
        <v>0.2</v>
      </c>
      <c r="C29" s="28" t="n">
        <f aca="false">IF(AND(ISNUMBER(Revenue),N(Revenue)&gt;0),Revenue*(1+B29),"—")</f>
        <v>300000</v>
      </c>
      <c r="D29" s="28" t="n">
        <f aca="false">IF(AND(ISNUMBER(Revenue),N(Revenue)&gt;0),C29-N(COGS),"—")</f>
        <v>140000</v>
      </c>
      <c r="E29" s="29" t="n">
        <f aca="false">IF(AND(AND(ISNUMBER(Revenue),N(Revenue)&gt;0),ISNUMBER(C29)),IF(C29&gt;0,D29/C29,"—"),"—")</f>
        <v>0.466666666666667</v>
      </c>
      <c r="F29" s="28" t="n">
        <f aca="false">IF(AND(ISNUMBER(Revenue),N(Revenue)&gt;0),D29-(Revenue-N(COGS)),"—")</f>
        <v>50000</v>
      </c>
      <c r="H29" s="5" t="s">
        <v>71</v>
      </c>
      <c r="I29" s="6"/>
    </row>
    <row r="30" customFormat="false" ht="15" hidden="false" customHeight="false" outlineLevel="0" collapsed="false">
      <c r="H30" s="38" t="str">
        <f aca="false">IF(NOT(ISNUMBER(Revenue)),"Check — enter your revenue",IF(Revenue&lt;=0,"Check — revenue must be above zero","OK — revenue entered"))</f>
        <v>OK — revenue entered</v>
      </c>
      <c r="I30" s="38"/>
    </row>
    <row r="31" customFormat="false" ht="30" hidden="false" customHeight="true" outlineLevel="0" collapsed="false">
      <c r="B31" s="20" t="s">
        <v>72</v>
      </c>
      <c r="C31" s="20"/>
      <c r="D31" s="20"/>
      <c r="E31" s="20"/>
      <c r="F31" s="20"/>
      <c r="H31" s="38" t="str">
        <f aca="false">IF(ISBLANK(COGS),"OK — cost of goods sold blank, treated as zero",IF(NOT(ISNUMBER(COGS)),"Check — cost of goods sold must be a number",IF(COGS&lt;0,"Check — negative cost of goods sold is unusual","OK — cost of goods sold entered")))</f>
        <v>OK — cost of goods sold entered</v>
      </c>
      <c r="I31" s="38"/>
    </row>
    <row r="32" customFormat="false" ht="15" hidden="false" customHeight="false" outlineLevel="0" collapsed="false">
      <c r="B32" s="20"/>
      <c r="C32" s="20"/>
      <c r="D32" s="20"/>
      <c r="E32" s="20"/>
      <c r="F32" s="20"/>
      <c r="H32" s="38" t="str">
        <f aca="false">IF(AND(AND(ISNUMBER(Revenue),N(Revenue)&gt;0),N(COGS)&gt;Revenue),"Check — direct costs exceed revenue (negative margin)","OK — costs below revenue")</f>
        <v>OK — costs below revenue</v>
      </c>
      <c r="I32" s="38"/>
    </row>
    <row r="34" customFormat="false" ht="15" hidden="false" customHeight="true" outlineLevel="0" collapsed="false">
      <c r="H34" s="20" t="s">
        <v>73</v>
      </c>
      <c r="I34" s="20"/>
    </row>
    <row r="35" customFormat="false" ht="15" hidden="false" customHeight="false" outlineLevel="0" collapsed="false">
      <c r="H35" s="20"/>
      <c r="I35" s="20"/>
    </row>
  </sheetData>
  <mergeCells count="10">
    <mergeCell ref="E8:F8"/>
    <mergeCell ref="E10:F10"/>
    <mergeCell ref="H11:I12"/>
    <mergeCell ref="H18:I18"/>
    <mergeCell ref="H22:I27"/>
    <mergeCell ref="H30:I30"/>
    <mergeCell ref="B31:F32"/>
    <mergeCell ref="H31:I31"/>
    <mergeCell ref="H32:I32"/>
    <mergeCell ref="H34:I35"/>
  </mergeCells>
  <conditionalFormatting sqref="C15">
    <cfRule type="expression" priority="2" aboveAverage="0" equalAverage="0" bottom="0" percent="0" rank="0" text="" dxfId="0">
      <formula>AND(ISNUMBER($C$15),$C$15&lt;0)</formula>
    </cfRule>
  </conditionalFormatting>
  <conditionalFormatting sqref="C16">
    <cfRule type="expression" priority="3" aboveAverage="0" equalAverage="0" bottom="0" percent="0" rank="0" text="" dxfId="0">
      <formula>AND(ISNUMBER($C$16),$C$16&lt;0)</formula>
    </cfRule>
  </conditionalFormatting>
  <conditionalFormatting sqref="C17">
    <cfRule type="expression" priority="4" aboveAverage="0" equalAverage="0" bottom="0" percent="0" rank="0" text="" dxfId="1">
      <formula>AND(ISNUMBER($C$17),$C$17&lt;0)</formula>
    </cfRule>
  </conditionalFormatting>
  <conditionalFormatting sqref="D21">
    <cfRule type="expression" priority="5" aboveAverage="0" equalAverage="0" bottom="0" percent="0" rank="0" text="" dxfId="0">
      <formula>AND(ISNUMBER($D$21),$D$21&lt;0)</formula>
    </cfRule>
  </conditionalFormatting>
  <conditionalFormatting sqref="E21">
    <cfRule type="expression" priority="6" aboveAverage="0" equalAverage="0" bottom="0" percent="0" rank="0" text="" dxfId="0">
      <formula>AND(ISNUMBER($E$21),$E$21&lt;0)</formula>
    </cfRule>
  </conditionalFormatting>
  <conditionalFormatting sqref="F21">
    <cfRule type="expression" priority="7" aboveAverage="0" equalAverage="0" bottom="0" percent="0" rank="0" text="" dxfId="0">
      <formula>AND(ISNUMBER($F$21),$F$21&lt;0)</formula>
    </cfRule>
  </conditionalFormatting>
  <conditionalFormatting sqref="D22">
    <cfRule type="expression" priority="8" aboveAverage="0" equalAverage="0" bottom="0" percent="0" rank="0" text="" dxfId="0">
      <formula>AND(ISNUMBER($D$22),$D$22&lt;0)</formula>
    </cfRule>
  </conditionalFormatting>
  <conditionalFormatting sqref="E22">
    <cfRule type="expression" priority="9" aboveAverage="0" equalAverage="0" bottom="0" percent="0" rank="0" text="" dxfId="0">
      <formula>AND(ISNUMBER($E$22),$E$22&lt;0)</formula>
    </cfRule>
  </conditionalFormatting>
  <conditionalFormatting sqref="F22">
    <cfRule type="expression" priority="10" aboveAverage="0" equalAverage="0" bottom="0" percent="0" rank="0" text="" dxfId="0">
      <formula>AND(ISNUMBER($F$22),$F$22&lt;0)</formula>
    </cfRule>
  </conditionalFormatting>
  <conditionalFormatting sqref="D23">
    <cfRule type="expression" priority="11" aboveAverage="0" equalAverage="0" bottom="0" percent="0" rank="0" text="" dxfId="0">
      <formula>AND(ISNUMBER($D$23),$D$23&lt;0)</formula>
    </cfRule>
  </conditionalFormatting>
  <conditionalFormatting sqref="E23">
    <cfRule type="expression" priority="12" aboveAverage="0" equalAverage="0" bottom="0" percent="0" rank="0" text="" dxfId="0">
      <formula>AND(ISNUMBER($E$23),$E$23&lt;0)</formula>
    </cfRule>
  </conditionalFormatting>
  <conditionalFormatting sqref="F23">
    <cfRule type="expression" priority="13" aboveAverage="0" equalAverage="0" bottom="0" percent="0" rank="0" text="" dxfId="0">
      <formula>AND(ISNUMBER($F$23),$F$23&lt;0)</formula>
    </cfRule>
  </conditionalFormatting>
  <conditionalFormatting sqref="D24">
    <cfRule type="expression" priority="14" aboveAverage="0" equalAverage="0" bottom="0" percent="0" rank="0" text="" dxfId="0">
      <formula>AND(ISNUMBER($D$24),$D$24&lt;0)</formula>
    </cfRule>
  </conditionalFormatting>
  <conditionalFormatting sqref="E24">
    <cfRule type="expression" priority="15" aboveAverage="0" equalAverage="0" bottom="0" percent="0" rank="0" text="" dxfId="0">
      <formula>AND(ISNUMBER($E$24),$E$24&lt;0)</formula>
    </cfRule>
  </conditionalFormatting>
  <conditionalFormatting sqref="F24">
    <cfRule type="expression" priority="16" aboveAverage="0" equalAverage="0" bottom="0" percent="0" rank="0" text="" dxfId="0">
      <formula>AND(ISNUMBER($F$24),$F$24&lt;0)</formula>
    </cfRule>
  </conditionalFormatting>
  <conditionalFormatting sqref="D25">
    <cfRule type="expression" priority="17" aboveAverage="0" equalAverage="0" bottom="0" percent="0" rank="0" text="" dxfId="0">
      <formula>AND(ISNUMBER($D$25),$D$25&lt;0)</formula>
    </cfRule>
  </conditionalFormatting>
  <conditionalFormatting sqref="E25">
    <cfRule type="expression" priority="18" aboveAverage="0" equalAverage="0" bottom="0" percent="0" rank="0" text="" dxfId="0">
      <formula>AND(ISNUMBER($E$25),$E$25&lt;0)</formula>
    </cfRule>
  </conditionalFormatting>
  <conditionalFormatting sqref="F25">
    <cfRule type="expression" priority="19" aboveAverage="0" equalAverage="0" bottom="0" percent="0" rank="0" text="" dxfId="0">
      <formula>AND(ISNUMBER($F$25),$F$25&lt;0)</formula>
    </cfRule>
  </conditionalFormatting>
  <conditionalFormatting sqref="D26">
    <cfRule type="expression" priority="20" aboveAverage="0" equalAverage="0" bottom="0" percent="0" rank="0" text="" dxfId="0">
      <formula>AND(ISNUMBER($D$26),$D$26&lt;0)</formula>
    </cfRule>
  </conditionalFormatting>
  <conditionalFormatting sqref="E26">
    <cfRule type="expression" priority="21" aboveAverage="0" equalAverage="0" bottom="0" percent="0" rank="0" text="" dxfId="0">
      <formula>AND(ISNUMBER($E$26),$E$26&lt;0)</formula>
    </cfRule>
  </conditionalFormatting>
  <conditionalFormatting sqref="F26">
    <cfRule type="expression" priority="22" aboveAverage="0" equalAverage="0" bottom="0" percent="0" rank="0" text="" dxfId="0">
      <formula>AND(ISNUMBER($F$26),$F$26&lt;0)</formula>
    </cfRule>
  </conditionalFormatting>
  <conditionalFormatting sqref="D27">
    <cfRule type="expression" priority="23" aboveAverage="0" equalAverage="0" bottom="0" percent="0" rank="0" text="" dxfId="0">
      <formula>AND(ISNUMBER($D$27),$D$27&lt;0)</formula>
    </cfRule>
  </conditionalFormatting>
  <conditionalFormatting sqref="E27">
    <cfRule type="expression" priority="24" aboveAverage="0" equalAverage="0" bottom="0" percent="0" rank="0" text="" dxfId="0">
      <formula>AND(ISNUMBER($E$27),$E$27&lt;0)</formula>
    </cfRule>
  </conditionalFormatting>
  <conditionalFormatting sqref="F27">
    <cfRule type="expression" priority="25" aboveAverage="0" equalAverage="0" bottom="0" percent="0" rank="0" text="" dxfId="0">
      <formula>AND(ISNUMBER($F$27),$F$27&lt;0)</formula>
    </cfRule>
  </conditionalFormatting>
  <conditionalFormatting sqref="D28">
    <cfRule type="expression" priority="26" aboveAverage="0" equalAverage="0" bottom="0" percent="0" rank="0" text="" dxfId="0">
      <formula>AND(ISNUMBER($D$28),$D$28&lt;0)</formula>
    </cfRule>
  </conditionalFormatting>
  <conditionalFormatting sqref="E28">
    <cfRule type="expression" priority="27" aboveAverage="0" equalAverage="0" bottom="0" percent="0" rank="0" text="" dxfId="0">
      <formula>AND(ISNUMBER($E$28),$E$28&lt;0)</formula>
    </cfRule>
  </conditionalFormatting>
  <conditionalFormatting sqref="F28">
    <cfRule type="expression" priority="28" aboveAverage="0" equalAverage="0" bottom="0" percent="0" rank="0" text="" dxfId="0">
      <formula>AND(ISNUMBER($F$28),$F$28&lt;0)</formula>
    </cfRule>
  </conditionalFormatting>
  <conditionalFormatting sqref="D29">
    <cfRule type="expression" priority="29" aboveAverage="0" equalAverage="0" bottom="0" percent="0" rank="0" text="" dxfId="0">
      <formula>AND(ISNUMBER($D$29),$D$29&lt;0)</formula>
    </cfRule>
  </conditionalFormatting>
  <conditionalFormatting sqref="E29">
    <cfRule type="expression" priority="30" aboveAverage="0" equalAverage="0" bottom="0" percent="0" rank="0" text="" dxfId="0">
      <formula>AND(ISNUMBER($E$29),$E$29&lt;0)</formula>
    </cfRule>
  </conditionalFormatting>
  <conditionalFormatting sqref="F29">
    <cfRule type="expression" priority="31" aboveAverage="0" equalAverage="0" bottom="0" percent="0" rank="0" text="" dxfId="0">
      <formula>AND(ISNUMBER($F$29),$F$29&lt;0)</formula>
    </cfRule>
  </conditionalFormatting>
  <conditionalFormatting sqref="H11">
    <cfRule type="expression" priority="32" aboveAverage="0" equalAverage="0" bottom="0" percent="0" rank="0" text="" dxfId="2">
      <formula>AND(ISNUMBER($H$11),$H$11&lt;0)</formula>
    </cfRule>
  </conditionalFormatting>
  <conditionalFormatting sqref="I14">
    <cfRule type="expression" priority="33" aboveAverage="0" equalAverage="0" bottom="0" percent="0" rank="0" text="" dxfId="3">
      <formula>AND(ISNUMBER($I$14),$I$14&lt;0)</formula>
    </cfRule>
  </conditionalFormatting>
  <conditionalFormatting sqref="I15">
    <cfRule type="expression" priority="34" aboveAverage="0" equalAverage="0" bottom="0" percent="0" rank="0" text="" dxfId="3">
      <formula>AND(ISNUMBER($I$15),$I$15&lt;0)</formula>
    </cfRule>
  </conditionalFormatting>
  <conditionalFormatting sqref="I16">
    <cfRule type="expression" priority="35" aboveAverage="0" equalAverage="0" bottom="0" percent="0" rank="0" text="" dxfId="3">
      <formula>AND(ISNUMBER($I$16),$I$16&lt;0)</formula>
    </cfRule>
  </conditionalFormatting>
  <conditionalFormatting sqref="H30">
    <cfRule type="expression" priority="36" aboveAverage="0" equalAverage="0" bottom="0" percent="0" rank="0" text="" dxfId="4">
      <formula>LEFT(H30,5)="Check"</formula>
    </cfRule>
    <cfRule type="expression" priority="37" aboveAverage="0" equalAverage="0" bottom="0" percent="0" rank="0" text="" dxfId="5">
      <formula>LEFT(H30,2)="OK"</formula>
    </cfRule>
  </conditionalFormatting>
  <conditionalFormatting sqref="H31">
    <cfRule type="expression" priority="38" aboveAverage="0" equalAverage="0" bottom="0" percent="0" rank="0" text="" dxfId="4">
      <formula>LEFT(H31,5)="Check"</formula>
    </cfRule>
    <cfRule type="expression" priority="39" aboveAverage="0" equalAverage="0" bottom="0" percent="0" rank="0" text="" dxfId="5">
      <formula>LEFT(H31,2)="OK"</formula>
    </cfRule>
  </conditionalFormatting>
  <conditionalFormatting sqref="H32">
    <cfRule type="expression" priority="40" aboveAverage="0" equalAverage="0" bottom="0" percent="0" rank="0" text="" dxfId="4">
      <formula>LEFT(H32,5)="Check"</formula>
    </cfRule>
    <cfRule type="expression" priority="41" aboveAverage="0" equalAverage="0" bottom="0" percent="0" rank="0" text="" dxfId="5">
      <formula>LEFT(H32,2)="OK"</formula>
    </cfRule>
  </conditionalFormatting>
  <dataValidations count="2">
    <dataValidation allowBlank="true" error="Enter a number." errorStyle="stop" errorTitle="Revenue" operator="between" showDropDown="false" showErrorMessage="true" showInputMessage="false" sqref="D8" type="decimal">
      <formula1>-1000000000000000</formula1>
      <formula2>0</formula2>
    </dataValidation>
    <dataValidation allowBlank="true" error="Enter a number." errorStyle="stop" errorTitle="Cost of goods sold" operator="between" showDropDown="false" showErrorMessage="true" showInputMessage="false" sqref="D10"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K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1"/>
    <col collapsed="false" customWidth="true" hidden="false" outlineLevel="0" max="5" min="4" style="0" width="12"/>
    <col collapsed="false" customWidth="true" hidden="false" outlineLevel="0" max="8" min="6" style="0" width="15"/>
    <col collapsed="false" customWidth="true" hidden="false" outlineLevel="0" max="10" min="9" style="0" width="12"/>
    <col collapsed="false" customWidth="true" hidden="false" outlineLevel="0" max="11" min="11" style="0" width="3"/>
  </cols>
  <sheetData>
    <row r="1" customFormat="false" ht="7.5" hidden="false" customHeight="true" outlineLevel="0" collapsed="false">
      <c r="A1" s="1"/>
      <c r="B1" s="1"/>
      <c r="C1" s="1"/>
      <c r="D1" s="1"/>
      <c r="E1" s="1"/>
      <c r="F1" s="1"/>
      <c r="G1" s="1"/>
      <c r="H1" s="1"/>
      <c r="I1" s="1"/>
      <c r="J1" s="1"/>
      <c r="K1" s="1"/>
    </row>
    <row r="2" customFormat="false" ht="30" hidden="false" customHeight="true" outlineLevel="0" collapsed="false">
      <c r="A2" s="1"/>
      <c r="B2" s="2" t="s">
        <v>45</v>
      </c>
      <c r="C2" s="1"/>
      <c r="D2" s="1"/>
      <c r="E2" s="1"/>
      <c r="F2" s="1"/>
      <c r="G2" s="1"/>
      <c r="H2" s="1"/>
      <c r="I2" s="1"/>
      <c r="J2" s="1"/>
      <c r="K2" s="1"/>
    </row>
    <row r="3" customFormat="false" ht="19.5" hidden="false" customHeight="true" outlineLevel="0" collapsed="false">
      <c r="A3" s="1"/>
      <c r="B3" s="3" t="s">
        <v>74</v>
      </c>
      <c r="C3" s="1"/>
      <c r="D3" s="1"/>
      <c r="E3" s="1"/>
      <c r="F3" s="1"/>
      <c r="G3" s="1"/>
      <c r="H3" s="1"/>
      <c r="I3" s="1"/>
      <c r="J3" s="1"/>
      <c r="K3" s="1"/>
    </row>
    <row r="4" customFormat="false" ht="7.5" hidden="false" customHeight="true" outlineLevel="0" collapsed="false">
      <c r="A4" s="1"/>
      <c r="B4" s="1"/>
      <c r="C4" s="1"/>
      <c r="D4" s="1"/>
      <c r="E4" s="1"/>
      <c r="F4" s="1"/>
      <c r="G4" s="1"/>
      <c r="H4" s="1"/>
      <c r="I4" s="1"/>
      <c r="J4" s="1"/>
      <c r="K4" s="1"/>
    </row>
    <row r="5" customFormat="false" ht="3" hidden="false" customHeight="true" outlineLevel="0" collapsed="false">
      <c r="A5" s="4"/>
      <c r="B5" s="4"/>
      <c r="C5" s="4"/>
      <c r="D5" s="4"/>
      <c r="E5" s="4"/>
      <c r="F5" s="4"/>
      <c r="G5" s="4"/>
      <c r="H5" s="4"/>
      <c r="I5" s="4"/>
      <c r="J5" s="4"/>
      <c r="K5" s="4"/>
    </row>
    <row r="7" customFormat="false" ht="30" hidden="false" customHeight="true" outlineLevel="0" collapsed="false">
      <c r="B7" s="24" t="s">
        <v>75</v>
      </c>
      <c r="C7" s="25" t="s">
        <v>76</v>
      </c>
      <c r="D7" s="25" t="s">
        <v>77</v>
      </c>
      <c r="E7" s="25" t="s">
        <v>78</v>
      </c>
      <c r="F7" s="25" t="s">
        <v>14</v>
      </c>
      <c r="G7" s="25" t="s">
        <v>16</v>
      </c>
      <c r="H7" s="25" t="s">
        <v>65</v>
      </c>
      <c r="I7" s="25" t="s">
        <v>28</v>
      </c>
      <c r="J7" s="25" t="s">
        <v>79</v>
      </c>
    </row>
    <row r="8" customFormat="false" ht="15" hidden="false" customHeight="false" outlineLevel="0" collapsed="false">
      <c r="B8" s="39" t="s">
        <v>80</v>
      </c>
      <c r="C8" s="40" t="n">
        <v>400</v>
      </c>
      <c r="D8" s="19" t="n">
        <v>250</v>
      </c>
      <c r="E8" s="19" t="n">
        <v>140</v>
      </c>
      <c r="F8" s="28" t="n">
        <f aca="false">IF(AND(ISNUMBER(C8),ISNUMBER(D8)),C8*D8,"")</f>
        <v>100000</v>
      </c>
      <c r="G8" s="28" t="n">
        <f aca="false">IF(AND(ISNUMBER(C8),ISNUMBER(D8)),C8*N(E8),"")</f>
        <v>56000</v>
      </c>
      <c r="H8" s="28" t="n">
        <f aca="false">IF(AND(ISNUMBER(C8),ISNUMBER(D8)),F8-G8,"")</f>
        <v>44000</v>
      </c>
      <c r="I8" s="29" t="n">
        <f aca="false">IF(AND(AND(ISNUMBER(C8),ISNUMBER(D8)),N(F8)&gt;0),H8/F8,IF(AND(ISNUMBER(C8),ISNUMBER(D8)),"—",""))</f>
        <v>0.44</v>
      </c>
      <c r="J8" s="29" t="n">
        <f aca="false">IF(AND(ISNUMBER(H8),N($H$28)&gt;0),H8/$H$28,IF(ISNUMBER(H8),"—",""))</f>
        <v>0.423076923076923</v>
      </c>
    </row>
    <row r="9" customFormat="false" ht="15" hidden="false" customHeight="false" outlineLevel="0" collapsed="false">
      <c r="B9" s="39" t="s">
        <v>81</v>
      </c>
      <c r="C9" s="40" t="n">
        <v>1200</v>
      </c>
      <c r="D9" s="19" t="n">
        <v>120</v>
      </c>
      <c r="E9" s="19" t="n">
        <v>80</v>
      </c>
      <c r="F9" s="28" t="n">
        <f aca="false">IF(AND(ISNUMBER(C9),ISNUMBER(D9)),C9*D9,"")</f>
        <v>144000</v>
      </c>
      <c r="G9" s="28" t="n">
        <f aca="false">IF(AND(ISNUMBER(C9),ISNUMBER(D9)),C9*N(E9),"")</f>
        <v>96000</v>
      </c>
      <c r="H9" s="28" t="n">
        <f aca="false">IF(AND(ISNUMBER(C9),ISNUMBER(D9)),F9-G9,"")</f>
        <v>48000</v>
      </c>
      <c r="I9" s="29" t="n">
        <f aca="false">IF(AND(AND(ISNUMBER(C9),ISNUMBER(D9)),N(F9)&gt;0),H9/F9,IF(AND(ISNUMBER(C9),ISNUMBER(D9)),"—",""))</f>
        <v>0.333333333333333</v>
      </c>
      <c r="J9" s="29" t="n">
        <f aca="false">IF(AND(ISNUMBER(H9),N($H$28)&gt;0),H9/$H$28,IF(ISNUMBER(H9),"—",""))</f>
        <v>0.461538461538462</v>
      </c>
    </row>
    <row r="10" customFormat="false" ht="15" hidden="false" customHeight="false" outlineLevel="0" collapsed="false">
      <c r="B10" s="39" t="s">
        <v>82</v>
      </c>
      <c r="C10" s="40" t="n">
        <v>600</v>
      </c>
      <c r="D10" s="19" t="n">
        <v>60</v>
      </c>
      <c r="E10" s="19" t="n">
        <v>64</v>
      </c>
      <c r="F10" s="28" t="n">
        <f aca="false">IF(AND(ISNUMBER(C10),ISNUMBER(D10)),C10*D10,"")</f>
        <v>36000</v>
      </c>
      <c r="G10" s="28" t="n">
        <f aca="false">IF(AND(ISNUMBER(C10),ISNUMBER(D10)),C10*N(E10),"")</f>
        <v>38400</v>
      </c>
      <c r="H10" s="28" t="n">
        <f aca="false">IF(AND(ISNUMBER(C10),ISNUMBER(D10)),F10-G10,"")</f>
        <v>-2400</v>
      </c>
      <c r="I10" s="29" t="n">
        <f aca="false">IF(AND(AND(ISNUMBER(C10),ISNUMBER(D10)),N(F10)&gt;0),H10/F10,IF(AND(ISNUMBER(C10),ISNUMBER(D10)),"—",""))</f>
        <v>-0.0666666666666667</v>
      </c>
      <c r="J10" s="29" t="n">
        <f aca="false">IF(AND(ISNUMBER(H10),N($H$28)&gt;0),H10/$H$28,IF(ISNUMBER(H10),"—",""))</f>
        <v>-0.0230769230769231</v>
      </c>
    </row>
    <row r="11" customFormat="false" ht="15" hidden="false" customHeight="false" outlineLevel="0" collapsed="false">
      <c r="B11" s="39" t="s">
        <v>83</v>
      </c>
      <c r="C11" s="40" t="n">
        <v>900</v>
      </c>
      <c r="D11" s="19" t="n">
        <v>25</v>
      </c>
      <c r="E11" s="19" t="n">
        <v>9</v>
      </c>
      <c r="F11" s="28" t="n">
        <f aca="false">IF(AND(ISNUMBER(C11),ISNUMBER(D11)),C11*D11,"")</f>
        <v>22500</v>
      </c>
      <c r="G11" s="28" t="n">
        <f aca="false">IF(AND(ISNUMBER(C11),ISNUMBER(D11)),C11*N(E11),"")</f>
        <v>8100</v>
      </c>
      <c r="H11" s="28" t="n">
        <f aca="false">IF(AND(ISNUMBER(C11),ISNUMBER(D11)),F11-G11,"")</f>
        <v>14400</v>
      </c>
      <c r="I11" s="29" t="n">
        <f aca="false">IF(AND(AND(ISNUMBER(C11),ISNUMBER(D11)),N(F11)&gt;0),H11/F11,IF(AND(ISNUMBER(C11),ISNUMBER(D11)),"—",""))</f>
        <v>0.64</v>
      </c>
      <c r="J11" s="29" t="n">
        <f aca="false">IF(AND(ISNUMBER(H11),N($H$28)&gt;0),H11/$H$28,IF(ISNUMBER(H11),"—",""))</f>
        <v>0.138461538461538</v>
      </c>
    </row>
    <row r="12" customFormat="false" ht="15" hidden="false" customHeight="false" outlineLevel="0" collapsed="false">
      <c r="B12" s="39"/>
      <c r="C12" s="40"/>
      <c r="D12" s="19"/>
      <c r="E12" s="19"/>
      <c r="F12" s="28" t="str">
        <f aca="false">IF(AND(ISNUMBER(C12),ISNUMBER(D12)),C12*D12,"")</f>
        <v/>
      </c>
      <c r="G12" s="28" t="str">
        <f aca="false">IF(AND(ISNUMBER(C12),ISNUMBER(D12)),C12*N(E12),"")</f>
        <v/>
      </c>
      <c r="H12" s="28" t="str">
        <f aca="false">IF(AND(ISNUMBER(C12),ISNUMBER(D12)),F12-G12,"")</f>
        <v/>
      </c>
      <c r="I12" s="29" t="str">
        <f aca="false">IF(AND(AND(ISNUMBER(C12),ISNUMBER(D12)),N(F12)&gt;0),H12/F12,IF(AND(ISNUMBER(C12),ISNUMBER(D12)),"—",""))</f>
        <v/>
      </c>
      <c r="J12" s="29" t="str">
        <f aca="false">IF(AND(ISNUMBER(H12),N($H$28)&gt;0),H12/$H$28,IF(ISNUMBER(H12),"—",""))</f>
        <v/>
      </c>
    </row>
    <row r="13" customFormat="false" ht="15" hidden="false" customHeight="false" outlineLevel="0" collapsed="false">
      <c r="B13" s="39"/>
      <c r="C13" s="40"/>
      <c r="D13" s="19"/>
      <c r="E13" s="19"/>
      <c r="F13" s="28" t="str">
        <f aca="false">IF(AND(ISNUMBER(C13),ISNUMBER(D13)),C13*D13,"")</f>
        <v/>
      </c>
      <c r="G13" s="28" t="str">
        <f aca="false">IF(AND(ISNUMBER(C13),ISNUMBER(D13)),C13*N(E13),"")</f>
        <v/>
      </c>
      <c r="H13" s="28" t="str">
        <f aca="false">IF(AND(ISNUMBER(C13),ISNUMBER(D13)),F13-G13,"")</f>
        <v/>
      </c>
      <c r="I13" s="29" t="str">
        <f aca="false">IF(AND(AND(ISNUMBER(C13),ISNUMBER(D13)),N(F13)&gt;0),H13/F13,IF(AND(ISNUMBER(C13),ISNUMBER(D13)),"—",""))</f>
        <v/>
      </c>
      <c r="J13" s="29" t="str">
        <f aca="false">IF(AND(ISNUMBER(H13),N($H$28)&gt;0),H13/$H$28,IF(ISNUMBER(H13),"—",""))</f>
        <v/>
      </c>
    </row>
    <row r="14" customFormat="false" ht="15" hidden="false" customHeight="false" outlineLevel="0" collapsed="false">
      <c r="B14" s="39"/>
      <c r="C14" s="40"/>
      <c r="D14" s="19"/>
      <c r="E14" s="19"/>
      <c r="F14" s="28" t="str">
        <f aca="false">IF(AND(ISNUMBER(C14),ISNUMBER(D14)),C14*D14,"")</f>
        <v/>
      </c>
      <c r="G14" s="28" t="str">
        <f aca="false">IF(AND(ISNUMBER(C14),ISNUMBER(D14)),C14*N(E14),"")</f>
        <v/>
      </c>
      <c r="H14" s="28" t="str">
        <f aca="false">IF(AND(ISNUMBER(C14),ISNUMBER(D14)),F14-G14,"")</f>
        <v/>
      </c>
      <c r="I14" s="29" t="str">
        <f aca="false">IF(AND(AND(ISNUMBER(C14),ISNUMBER(D14)),N(F14)&gt;0),H14/F14,IF(AND(ISNUMBER(C14),ISNUMBER(D14)),"—",""))</f>
        <v/>
      </c>
      <c r="J14" s="29" t="str">
        <f aca="false">IF(AND(ISNUMBER(H14),N($H$28)&gt;0),H14/$H$28,IF(ISNUMBER(H14),"—",""))</f>
        <v/>
      </c>
    </row>
    <row r="15" customFormat="false" ht="15" hidden="false" customHeight="false" outlineLevel="0" collapsed="false">
      <c r="B15" s="39"/>
      <c r="C15" s="40"/>
      <c r="D15" s="19"/>
      <c r="E15" s="19"/>
      <c r="F15" s="28" t="str">
        <f aca="false">IF(AND(ISNUMBER(C15),ISNUMBER(D15)),C15*D15,"")</f>
        <v/>
      </c>
      <c r="G15" s="28" t="str">
        <f aca="false">IF(AND(ISNUMBER(C15),ISNUMBER(D15)),C15*N(E15),"")</f>
        <v/>
      </c>
      <c r="H15" s="28" t="str">
        <f aca="false">IF(AND(ISNUMBER(C15),ISNUMBER(D15)),F15-G15,"")</f>
        <v/>
      </c>
      <c r="I15" s="29" t="str">
        <f aca="false">IF(AND(AND(ISNUMBER(C15),ISNUMBER(D15)),N(F15)&gt;0),H15/F15,IF(AND(ISNUMBER(C15),ISNUMBER(D15)),"—",""))</f>
        <v/>
      </c>
      <c r="J15" s="29" t="str">
        <f aca="false">IF(AND(ISNUMBER(H15),N($H$28)&gt;0),H15/$H$28,IF(ISNUMBER(H15),"—",""))</f>
        <v/>
      </c>
    </row>
    <row r="16" customFormat="false" ht="15" hidden="false" customHeight="false" outlineLevel="0" collapsed="false">
      <c r="B16" s="39"/>
      <c r="C16" s="40"/>
      <c r="D16" s="19"/>
      <c r="E16" s="19"/>
      <c r="F16" s="28" t="str">
        <f aca="false">IF(AND(ISNUMBER(C16),ISNUMBER(D16)),C16*D16,"")</f>
        <v/>
      </c>
      <c r="G16" s="28" t="str">
        <f aca="false">IF(AND(ISNUMBER(C16),ISNUMBER(D16)),C16*N(E16),"")</f>
        <v/>
      </c>
      <c r="H16" s="28" t="str">
        <f aca="false">IF(AND(ISNUMBER(C16),ISNUMBER(D16)),F16-G16,"")</f>
        <v/>
      </c>
      <c r="I16" s="29" t="str">
        <f aca="false">IF(AND(AND(ISNUMBER(C16),ISNUMBER(D16)),N(F16)&gt;0),H16/F16,IF(AND(ISNUMBER(C16),ISNUMBER(D16)),"—",""))</f>
        <v/>
      </c>
      <c r="J16" s="29" t="str">
        <f aca="false">IF(AND(ISNUMBER(H16),N($H$28)&gt;0),H16/$H$28,IF(ISNUMBER(H16),"—",""))</f>
        <v/>
      </c>
    </row>
    <row r="17" customFormat="false" ht="15" hidden="false" customHeight="false" outlineLevel="0" collapsed="false">
      <c r="B17" s="39"/>
      <c r="C17" s="40"/>
      <c r="D17" s="19"/>
      <c r="E17" s="19"/>
      <c r="F17" s="28" t="str">
        <f aca="false">IF(AND(ISNUMBER(C17),ISNUMBER(D17)),C17*D17,"")</f>
        <v/>
      </c>
      <c r="G17" s="28" t="str">
        <f aca="false">IF(AND(ISNUMBER(C17),ISNUMBER(D17)),C17*N(E17),"")</f>
        <v/>
      </c>
      <c r="H17" s="28" t="str">
        <f aca="false">IF(AND(ISNUMBER(C17),ISNUMBER(D17)),F17-G17,"")</f>
        <v/>
      </c>
      <c r="I17" s="29" t="str">
        <f aca="false">IF(AND(AND(ISNUMBER(C17),ISNUMBER(D17)),N(F17)&gt;0),H17/F17,IF(AND(ISNUMBER(C17),ISNUMBER(D17)),"—",""))</f>
        <v/>
      </c>
      <c r="J17" s="29" t="str">
        <f aca="false">IF(AND(ISNUMBER(H17),N($H$28)&gt;0),H17/$H$28,IF(ISNUMBER(H17),"—",""))</f>
        <v/>
      </c>
    </row>
    <row r="18" customFormat="false" ht="15" hidden="false" customHeight="false" outlineLevel="0" collapsed="false">
      <c r="B18" s="39"/>
      <c r="C18" s="40"/>
      <c r="D18" s="19"/>
      <c r="E18" s="19"/>
      <c r="F18" s="28" t="str">
        <f aca="false">IF(AND(ISNUMBER(C18),ISNUMBER(D18)),C18*D18,"")</f>
        <v/>
      </c>
      <c r="G18" s="28" t="str">
        <f aca="false">IF(AND(ISNUMBER(C18),ISNUMBER(D18)),C18*N(E18),"")</f>
        <v/>
      </c>
      <c r="H18" s="28" t="str">
        <f aca="false">IF(AND(ISNUMBER(C18),ISNUMBER(D18)),F18-G18,"")</f>
        <v/>
      </c>
      <c r="I18" s="29" t="str">
        <f aca="false">IF(AND(AND(ISNUMBER(C18),ISNUMBER(D18)),N(F18)&gt;0),H18/F18,IF(AND(ISNUMBER(C18),ISNUMBER(D18)),"—",""))</f>
        <v/>
      </c>
      <c r="J18" s="29" t="str">
        <f aca="false">IF(AND(ISNUMBER(H18),N($H$28)&gt;0),H18/$H$28,IF(ISNUMBER(H18),"—",""))</f>
        <v/>
      </c>
    </row>
    <row r="19" customFormat="false" ht="15" hidden="false" customHeight="false" outlineLevel="0" collapsed="false">
      <c r="B19" s="39"/>
      <c r="C19" s="40"/>
      <c r="D19" s="19"/>
      <c r="E19" s="19"/>
      <c r="F19" s="28" t="str">
        <f aca="false">IF(AND(ISNUMBER(C19),ISNUMBER(D19)),C19*D19,"")</f>
        <v/>
      </c>
      <c r="G19" s="28" t="str">
        <f aca="false">IF(AND(ISNUMBER(C19),ISNUMBER(D19)),C19*N(E19),"")</f>
        <v/>
      </c>
      <c r="H19" s="28" t="str">
        <f aca="false">IF(AND(ISNUMBER(C19),ISNUMBER(D19)),F19-G19,"")</f>
        <v/>
      </c>
      <c r="I19" s="29" t="str">
        <f aca="false">IF(AND(AND(ISNUMBER(C19),ISNUMBER(D19)),N(F19)&gt;0),H19/F19,IF(AND(ISNUMBER(C19),ISNUMBER(D19)),"—",""))</f>
        <v/>
      </c>
      <c r="J19" s="29" t="str">
        <f aca="false">IF(AND(ISNUMBER(H19),N($H$28)&gt;0),H19/$H$28,IF(ISNUMBER(H19),"—",""))</f>
        <v/>
      </c>
    </row>
    <row r="20" customFormat="false" ht="15" hidden="false" customHeight="false" outlineLevel="0" collapsed="false">
      <c r="B20" s="39"/>
      <c r="C20" s="40"/>
      <c r="D20" s="19"/>
      <c r="E20" s="19"/>
      <c r="F20" s="28" t="str">
        <f aca="false">IF(AND(ISNUMBER(C20),ISNUMBER(D20)),C20*D20,"")</f>
        <v/>
      </c>
      <c r="G20" s="28" t="str">
        <f aca="false">IF(AND(ISNUMBER(C20),ISNUMBER(D20)),C20*N(E20),"")</f>
        <v/>
      </c>
      <c r="H20" s="28" t="str">
        <f aca="false">IF(AND(ISNUMBER(C20),ISNUMBER(D20)),F20-G20,"")</f>
        <v/>
      </c>
      <c r="I20" s="29" t="str">
        <f aca="false">IF(AND(AND(ISNUMBER(C20),ISNUMBER(D20)),N(F20)&gt;0),H20/F20,IF(AND(ISNUMBER(C20),ISNUMBER(D20)),"—",""))</f>
        <v/>
      </c>
      <c r="J20" s="29" t="str">
        <f aca="false">IF(AND(ISNUMBER(H20),N($H$28)&gt;0),H20/$H$28,IF(ISNUMBER(H20),"—",""))</f>
        <v/>
      </c>
    </row>
    <row r="21" customFormat="false" ht="15" hidden="false" customHeight="false" outlineLevel="0" collapsed="false">
      <c r="B21" s="39"/>
      <c r="C21" s="40"/>
      <c r="D21" s="19"/>
      <c r="E21" s="19"/>
      <c r="F21" s="28" t="str">
        <f aca="false">IF(AND(ISNUMBER(C21),ISNUMBER(D21)),C21*D21,"")</f>
        <v/>
      </c>
      <c r="G21" s="28" t="str">
        <f aca="false">IF(AND(ISNUMBER(C21),ISNUMBER(D21)),C21*N(E21),"")</f>
        <v/>
      </c>
      <c r="H21" s="28" t="str">
        <f aca="false">IF(AND(ISNUMBER(C21),ISNUMBER(D21)),F21-G21,"")</f>
        <v/>
      </c>
      <c r="I21" s="29" t="str">
        <f aca="false">IF(AND(AND(ISNUMBER(C21),ISNUMBER(D21)),N(F21)&gt;0),H21/F21,IF(AND(ISNUMBER(C21),ISNUMBER(D21)),"—",""))</f>
        <v/>
      </c>
      <c r="J21" s="29" t="str">
        <f aca="false">IF(AND(ISNUMBER(H21),N($H$28)&gt;0),H21/$H$28,IF(ISNUMBER(H21),"—",""))</f>
        <v/>
      </c>
    </row>
    <row r="22" customFormat="false" ht="15" hidden="false" customHeight="false" outlineLevel="0" collapsed="false">
      <c r="B22" s="39"/>
      <c r="C22" s="40"/>
      <c r="D22" s="19"/>
      <c r="E22" s="19"/>
      <c r="F22" s="28" t="str">
        <f aca="false">IF(AND(ISNUMBER(C22),ISNUMBER(D22)),C22*D22,"")</f>
        <v/>
      </c>
      <c r="G22" s="28" t="str">
        <f aca="false">IF(AND(ISNUMBER(C22),ISNUMBER(D22)),C22*N(E22),"")</f>
        <v/>
      </c>
      <c r="H22" s="28" t="str">
        <f aca="false">IF(AND(ISNUMBER(C22),ISNUMBER(D22)),F22-G22,"")</f>
        <v/>
      </c>
      <c r="I22" s="29" t="str">
        <f aca="false">IF(AND(AND(ISNUMBER(C22),ISNUMBER(D22)),N(F22)&gt;0),H22/F22,IF(AND(ISNUMBER(C22),ISNUMBER(D22)),"—",""))</f>
        <v/>
      </c>
      <c r="J22" s="29" t="str">
        <f aca="false">IF(AND(ISNUMBER(H22),N($H$28)&gt;0),H22/$H$28,IF(ISNUMBER(H22),"—",""))</f>
        <v/>
      </c>
    </row>
    <row r="23" customFormat="false" ht="15" hidden="false" customHeight="false" outlineLevel="0" collapsed="false">
      <c r="B23" s="39"/>
      <c r="C23" s="40"/>
      <c r="D23" s="19"/>
      <c r="E23" s="19"/>
      <c r="F23" s="28" t="str">
        <f aca="false">IF(AND(ISNUMBER(C23),ISNUMBER(D23)),C23*D23,"")</f>
        <v/>
      </c>
      <c r="G23" s="28" t="str">
        <f aca="false">IF(AND(ISNUMBER(C23),ISNUMBER(D23)),C23*N(E23),"")</f>
        <v/>
      </c>
      <c r="H23" s="28" t="str">
        <f aca="false">IF(AND(ISNUMBER(C23),ISNUMBER(D23)),F23-G23,"")</f>
        <v/>
      </c>
      <c r="I23" s="29" t="str">
        <f aca="false">IF(AND(AND(ISNUMBER(C23),ISNUMBER(D23)),N(F23)&gt;0),H23/F23,IF(AND(ISNUMBER(C23),ISNUMBER(D23)),"—",""))</f>
        <v/>
      </c>
      <c r="J23" s="29" t="str">
        <f aca="false">IF(AND(ISNUMBER(H23),N($H$28)&gt;0),H23/$H$28,IF(ISNUMBER(H23),"—",""))</f>
        <v/>
      </c>
    </row>
    <row r="24" customFormat="false" ht="15" hidden="false" customHeight="false" outlineLevel="0" collapsed="false">
      <c r="B24" s="39"/>
      <c r="C24" s="40"/>
      <c r="D24" s="19"/>
      <c r="E24" s="19"/>
      <c r="F24" s="28" t="str">
        <f aca="false">IF(AND(ISNUMBER(C24),ISNUMBER(D24)),C24*D24,"")</f>
        <v/>
      </c>
      <c r="G24" s="28" t="str">
        <f aca="false">IF(AND(ISNUMBER(C24),ISNUMBER(D24)),C24*N(E24),"")</f>
        <v/>
      </c>
      <c r="H24" s="28" t="str">
        <f aca="false">IF(AND(ISNUMBER(C24),ISNUMBER(D24)),F24-G24,"")</f>
        <v/>
      </c>
      <c r="I24" s="29" t="str">
        <f aca="false">IF(AND(AND(ISNUMBER(C24),ISNUMBER(D24)),N(F24)&gt;0),H24/F24,IF(AND(ISNUMBER(C24),ISNUMBER(D24)),"—",""))</f>
        <v/>
      </c>
      <c r="J24" s="29" t="str">
        <f aca="false">IF(AND(ISNUMBER(H24),N($H$28)&gt;0),H24/$H$28,IF(ISNUMBER(H24),"—",""))</f>
        <v/>
      </c>
    </row>
    <row r="25" customFormat="false" ht="15" hidden="false" customHeight="false" outlineLevel="0" collapsed="false">
      <c r="B25" s="39"/>
      <c r="C25" s="40"/>
      <c r="D25" s="19"/>
      <c r="E25" s="19"/>
      <c r="F25" s="28" t="str">
        <f aca="false">IF(AND(ISNUMBER(C25),ISNUMBER(D25)),C25*D25,"")</f>
        <v/>
      </c>
      <c r="G25" s="28" t="str">
        <f aca="false">IF(AND(ISNUMBER(C25),ISNUMBER(D25)),C25*N(E25),"")</f>
        <v/>
      </c>
      <c r="H25" s="28" t="str">
        <f aca="false">IF(AND(ISNUMBER(C25),ISNUMBER(D25)),F25-G25,"")</f>
        <v/>
      </c>
      <c r="I25" s="29" t="str">
        <f aca="false">IF(AND(AND(ISNUMBER(C25),ISNUMBER(D25)),N(F25)&gt;0),H25/F25,IF(AND(ISNUMBER(C25),ISNUMBER(D25)),"—",""))</f>
        <v/>
      </c>
      <c r="J25" s="29" t="str">
        <f aca="false">IF(AND(ISNUMBER(H25),N($H$28)&gt;0),H25/$H$28,IF(ISNUMBER(H25),"—",""))</f>
        <v/>
      </c>
    </row>
    <row r="26" customFormat="false" ht="15" hidden="false" customHeight="false" outlineLevel="0" collapsed="false">
      <c r="B26" s="39"/>
      <c r="C26" s="40"/>
      <c r="D26" s="19"/>
      <c r="E26" s="19"/>
      <c r="F26" s="28" t="str">
        <f aca="false">IF(AND(ISNUMBER(C26),ISNUMBER(D26)),C26*D26,"")</f>
        <v/>
      </c>
      <c r="G26" s="28" t="str">
        <f aca="false">IF(AND(ISNUMBER(C26),ISNUMBER(D26)),C26*N(E26),"")</f>
        <v/>
      </c>
      <c r="H26" s="28" t="str">
        <f aca="false">IF(AND(ISNUMBER(C26),ISNUMBER(D26)),F26-G26,"")</f>
        <v/>
      </c>
      <c r="I26" s="29" t="str">
        <f aca="false">IF(AND(AND(ISNUMBER(C26),ISNUMBER(D26)),N(F26)&gt;0),H26/F26,IF(AND(ISNUMBER(C26),ISNUMBER(D26)),"—",""))</f>
        <v/>
      </c>
      <c r="J26" s="29" t="str">
        <f aca="false">IF(AND(ISNUMBER(H26),N($H$28)&gt;0),H26/$H$28,IF(ISNUMBER(H26),"—",""))</f>
        <v/>
      </c>
    </row>
    <row r="27" customFormat="false" ht="15" hidden="false" customHeight="false" outlineLevel="0" collapsed="false">
      <c r="B27" s="39"/>
      <c r="C27" s="40"/>
      <c r="D27" s="19"/>
      <c r="E27" s="19"/>
      <c r="F27" s="28" t="str">
        <f aca="false">IF(AND(ISNUMBER(C27),ISNUMBER(D27)),C27*D27,"")</f>
        <v/>
      </c>
      <c r="G27" s="28" t="str">
        <f aca="false">IF(AND(ISNUMBER(C27),ISNUMBER(D27)),C27*N(E27),"")</f>
        <v/>
      </c>
      <c r="H27" s="28" t="str">
        <f aca="false">IF(AND(ISNUMBER(C27),ISNUMBER(D27)),F27-G27,"")</f>
        <v/>
      </c>
      <c r="I27" s="29" t="str">
        <f aca="false">IF(AND(AND(ISNUMBER(C27),ISNUMBER(D27)),N(F27)&gt;0),H27/F27,IF(AND(ISNUMBER(C27),ISNUMBER(D27)),"—",""))</f>
        <v/>
      </c>
      <c r="J27" s="29" t="str">
        <f aca="false">IF(AND(ISNUMBER(H27),N($H$28)&gt;0),H27/$H$28,IF(ISNUMBER(H27),"—",""))</f>
        <v/>
      </c>
    </row>
    <row r="28" customFormat="false" ht="15" hidden="false" customHeight="false" outlineLevel="0" collapsed="false">
      <c r="B28" s="41" t="s">
        <v>84</v>
      </c>
      <c r="C28" s="42"/>
      <c r="D28" s="42"/>
      <c r="E28" s="42"/>
      <c r="F28" s="43" t="n">
        <f aca="false">SUM(F8:F27)</f>
        <v>302500</v>
      </c>
      <c r="G28" s="43" t="n">
        <f aca="false">SUM(G8:G27)</f>
        <v>198500</v>
      </c>
      <c r="H28" s="43" t="n">
        <f aca="false">SUM(H8:H27)</f>
        <v>104000</v>
      </c>
      <c r="I28" s="44" t="n">
        <f aca="false">IF(F28&gt;0,H28/F28,"—")</f>
        <v>0.343801652892562</v>
      </c>
      <c r="J28" s="42"/>
    </row>
    <row r="30" customFormat="false" ht="19.5" hidden="false" customHeight="true" outlineLevel="0" collapsed="false">
      <c r="B30" s="5" t="s">
        <v>85</v>
      </c>
      <c r="C30" s="6"/>
      <c r="D30" s="6"/>
      <c r="E30" s="6"/>
      <c r="F30" s="6"/>
      <c r="G30" s="6"/>
      <c r="H30" s="6"/>
      <c r="I30" s="6"/>
      <c r="J30" s="6"/>
    </row>
    <row r="31" customFormat="false" ht="15" hidden="false" customHeight="false" outlineLevel="0" collapsed="false">
      <c r="B31" s="45" t="s">
        <v>86</v>
      </c>
      <c r="C31" s="45"/>
      <c r="D31" s="45"/>
      <c r="E31" s="45"/>
      <c r="F31" s="46" t="n">
        <f aca="false">COUNT(F8:F27)</f>
        <v>4</v>
      </c>
      <c r="G31" s="46"/>
    </row>
    <row r="32" customFormat="false" ht="15" hidden="false" customHeight="false" outlineLevel="0" collapsed="false">
      <c r="B32" s="45" t="s">
        <v>87</v>
      </c>
      <c r="C32" s="45"/>
      <c r="D32" s="45"/>
      <c r="E32" s="45"/>
      <c r="F32" s="47" t="str">
        <f aca="false">IF(COUNT(I8:I27)&gt;0,INDEX(B8:B27,MATCH(MAX(I8:I27),I8:I27,0)),"—")</f>
        <v>Accessories</v>
      </c>
      <c r="G32" s="47"/>
    </row>
    <row r="33" customFormat="false" ht="15" hidden="false" customHeight="false" outlineLevel="0" collapsed="false">
      <c r="B33" s="45" t="s">
        <v>88</v>
      </c>
      <c r="C33" s="45"/>
      <c r="D33" s="45"/>
      <c r="E33" s="45"/>
      <c r="F33" s="47" t="str">
        <f aca="false">IF(COUNT(I8:I27)&gt;0,INDEX(B8:B27,MATCH(MIN(I8:I27),I8:I27,0)),"—")</f>
        <v>Clearance line</v>
      </c>
      <c r="G33" s="47"/>
    </row>
    <row r="34" customFormat="false" ht="15" hidden="false" customHeight="false" outlineLevel="0" collapsed="false">
      <c r="B34" s="45" t="s">
        <v>89</v>
      </c>
      <c r="C34" s="45"/>
      <c r="D34" s="45"/>
      <c r="E34" s="45"/>
      <c r="F34" s="46" t="n">
        <f aca="false">COUNTIF(H8:H27,"&lt;0")</f>
        <v>1</v>
      </c>
      <c r="G34" s="46"/>
    </row>
    <row r="35" customFormat="false" ht="15" hidden="false" customHeight="false" outlineLevel="0" collapsed="false">
      <c r="B35" s="45" t="s">
        <v>90</v>
      </c>
      <c r="C35" s="45"/>
      <c r="D35" s="45"/>
      <c r="E35" s="45"/>
      <c r="F35" s="48" t="n">
        <f aca="false">-SUMIF(H8:H27,"&lt;0")</f>
        <v>2400</v>
      </c>
      <c r="G35" s="48"/>
    </row>
    <row r="36" customFormat="false" ht="15" hidden="false" customHeight="false" outlineLevel="0" collapsed="false">
      <c r="B36" s="45" t="s">
        <v>91</v>
      </c>
      <c r="C36" s="45"/>
      <c r="D36" s="45"/>
      <c r="E36" s="45"/>
      <c r="F36" s="49" t="n">
        <f aca="false">IF(SUMIF(H8:H27,"&gt;=0",F8:F27)&gt;0,SUMIF(H8:H27,"&gt;=0")/SUMIF(H8:H27,"&gt;=0",F8:F27),"—")</f>
        <v>0.399249530956848</v>
      </c>
      <c r="G36" s="49"/>
    </row>
    <row r="38" customFormat="false" ht="30" hidden="false" customHeight="true" outlineLevel="0" collapsed="false">
      <c r="B38" s="20" t="s">
        <v>92</v>
      </c>
      <c r="C38" s="20"/>
      <c r="D38" s="20"/>
      <c r="E38" s="20"/>
      <c r="F38" s="20"/>
      <c r="G38" s="20"/>
      <c r="H38" s="20"/>
      <c r="I38" s="20"/>
      <c r="J38" s="20"/>
    </row>
    <row r="39" customFormat="false" ht="15" hidden="false" customHeight="false" outlineLevel="0" collapsed="false">
      <c r="B39" s="20"/>
      <c r="C39" s="20"/>
      <c r="D39" s="20"/>
      <c r="E39" s="20"/>
      <c r="F39" s="20"/>
      <c r="G39" s="20"/>
      <c r="H39" s="20"/>
      <c r="I39" s="20"/>
      <c r="J39" s="20"/>
    </row>
  </sheetData>
  <mergeCells count="13">
    <mergeCell ref="B31:E31"/>
    <mergeCell ref="F31:G31"/>
    <mergeCell ref="B32:E32"/>
    <mergeCell ref="F32:G32"/>
    <mergeCell ref="B33:E33"/>
    <mergeCell ref="F33:G33"/>
    <mergeCell ref="B34:E34"/>
    <mergeCell ref="F34:G34"/>
    <mergeCell ref="B35:E35"/>
    <mergeCell ref="F35:G35"/>
    <mergeCell ref="B36:E36"/>
    <mergeCell ref="F36:G36"/>
    <mergeCell ref="B38:J39"/>
  </mergeCells>
  <conditionalFormatting sqref="H8">
    <cfRule type="expression" priority="2" aboveAverage="0" equalAverage="0" bottom="0" percent="0" rank="0" text="" dxfId="0">
      <formula>AND(ISNUMBER($H$8),$H$8&lt;0)</formula>
    </cfRule>
  </conditionalFormatting>
  <conditionalFormatting sqref="I8">
    <cfRule type="expression" priority="3" aboveAverage="0" equalAverage="0" bottom="0" percent="0" rank="0" text="" dxfId="0">
      <formula>AND(ISNUMBER($I$8),$I$8&lt;0)</formula>
    </cfRule>
  </conditionalFormatting>
  <conditionalFormatting sqref="H9">
    <cfRule type="expression" priority="4" aboveAverage="0" equalAverage="0" bottom="0" percent="0" rank="0" text="" dxfId="0">
      <formula>AND(ISNUMBER($H$9),$H$9&lt;0)</formula>
    </cfRule>
  </conditionalFormatting>
  <conditionalFormatting sqref="I9">
    <cfRule type="expression" priority="5" aboveAverage="0" equalAverage="0" bottom="0" percent="0" rank="0" text="" dxfId="0">
      <formula>AND(ISNUMBER($I$9),$I$9&lt;0)</formula>
    </cfRule>
  </conditionalFormatting>
  <conditionalFormatting sqref="H10">
    <cfRule type="expression" priority="6" aboveAverage="0" equalAverage="0" bottom="0" percent="0" rank="0" text="" dxfId="0">
      <formula>AND(ISNUMBER($H$10),$H$10&lt;0)</formula>
    </cfRule>
  </conditionalFormatting>
  <conditionalFormatting sqref="I10">
    <cfRule type="expression" priority="7" aboveAverage="0" equalAverage="0" bottom="0" percent="0" rank="0" text="" dxfId="0">
      <formula>AND(ISNUMBER($I$10),$I$10&lt;0)</formula>
    </cfRule>
  </conditionalFormatting>
  <conditionalFormatting sqref="H11">
    <cfRule type="expression" priority="8" aboveAverage="0" equalAverage="0" bottom="0" percent="0" rank="0" text="" dxfId="0">
      <formula>AND(ISNUMBER($H$11),$H$11&lt;0)</formula>
    </cfRule>
  </conditionalFormatting>
  <conditionalFormatting sqref="I11">
    <cfRule type="expression" priority="9" aboveAverage="0" equalAverage="0" bottom="0" percent="0" rank="0" text="" dxfId="0">
      <formula>AND(ISNUMBER($I$11),$I$11&lt;0)</formula>
    </cfRule>
  </conditionalFormatting>
  <conditionalFormatting sqref="H12">
    <cfRule type="expression" priority="10" aboveAverage="0" equalAverage="0" bottom="0" percent="0" rank="0" text="" dxfId="0">
      <formula>AND(ISNUMBER($H$12),$H$12&lt;0)</formula>
    </cfRule>
  </conditionalFormatting>
  <conditionalFormatting sqref="I12">
    <cfRule type="expression" priority="11" aboveAverage="0" equalAverage="0" bottom="0" percent="0" rank="0" text="" dxfId="0">
      <formula>AND(ISNUMBER($I$12),$I$12&lt;0)</formula>
    </cfRule>
  </conditionalFormatting>
  <conditionalFormatting sqref="H13">
    <cfRule type="expression" priority="12" aboveAverage="0" equalAverage="0" bottom="0" percent="0" rank="0" text="" dxfId="0">
      <formula>AND(ISNUMBER($H$13),$H$13&lt;0)</formula>
    </cfRule>
  </conditionalFormatting>
  <conditionalFormatting sqref="I13">
    <cfRule type="expression" priority="13" aboveAverage="0" equalAverage="0" bottom="0" percent="0" rank="0" text="" dxfId="0">
      <formula>AND(ISNUMBER($I$13),$I$13&lt;0)</formula>
    </cfRule>
  </conditionalFormatting>
  <conditionalFormatting sqref="H14">
    <cfRule type="expression" priority="14" aboveAverage="0" equalAverage="0" bottom="0" percent="0" rank="0" text="" dxfId="0">
      <formula>AND(ISNUMBER($H$14),$H$14&lt;0)</formula>
    </cfRule>
  </conditionalFormatting>
  <conditionalFormatting sqref="I14">
    <cfRule type="expression" priority="15" aboveAverage="0" equalAverage="0" bottom="0" percent="0" rank="0" text="" dxfId="0">
      <formula>AND(ISNUMBER($I$14),$I$14&lt;0)</formula>
    </cfRule>
  </conditionalFormatting>
  <conditionalFormatting sqref="H15">
    <cfRule type="expression" priority="16" aboveAverage="0" equalAverage="0" bottom="0" percent="0" rank="0" text="" dxfId="0">
      <formula>AND(ISNUMBER($H$15),$H$15&lt;0)</formula>
    </cfRule>
  </conditionalFormatting>
  <conditionalFormatting sqref="I15">
    <cfRule type="expression" priority="17" aboveAverage="0" equalAverage="0" bottom="0" percent="0" rank="0" text="" dxfId="0">
      <formula>AND(ISNUMBER($I$15),$I$15&lt;0)</formula>
    </cfRule>
  </conditionalFormatting>
  <conditionalFormatting sqref="H16">
    <cfRule type="expression" priority="18" aboveAverage="0" equalAverage="0" bottom="0" percent="0" rank="0" text="" dxfId="0">
      <formula>AND(ISNUMBER($H$16),$H$16&lt;0)</formula>
    </cfRule>
  </conditionalFormatting>
  <conditionalFormatting sqref="I16">
    <cfRule type="expression" priority="19" aboveAverage="0" equalAverage="0" bottom="0" percent="0" rank="0" text="" dxfId="0">
      <formula>AND(ISNUMBER($I$16),$I$16&lt;0)</formula>
    </cfRule>
  </conditionalFormatting>
  <conditionalFormatting sqref="H17">
    <cfRule type="expression" priority="20" aboveAverage="0" equalAverage="0" bottom="0" percent="0" rank="0" text="" dxfId="0">
      <formula>AND(ISNUMBER($H$17),$H$17&lt;0)</formula>
    </cfRule>
  </conditionalFormatting>
  <conditionalFormatting sqref="I17">
    <cfRule type="expression" priority="21" aboveAverage="0" equalAverage="0" bottom="0" percent="0" rank="0" text="" dxfId="0">
      <formula>AND(ISNUMBER($I$17),$I$17&lt;0)</formula>
    </cfRule>
  </conditionalFormatting>
  <conditionalFormatting sqref="H18">
    <cfRule type="expression" priority="22" aboveAverage="0" equalAverage="0" bottom="0" percent="0" rank="0" text="" dxfId="0">
      <formula>AND(ISNUMBER($H$18),$H$18&lt;0)</formula>
    </cfRule>
  </conditionalFormatting>
  <conditionalFormatting sqref="I18">
    <cfRule type="expression" priority="23" aboveAverage="0" equalAverage="0" bottom="0" percent="0" rank="0" text="" dxfId="0">
      <formula>AND(ISNUMBER($I$18),$I$18&lt;0)</formula>
    </cfRule>
  </conditionalFormatting>
  <conditionalFormatting sqref="H19">
    <cfRule type="expression" priority="24" aboveAverage="0" equalAverage="0" bottom="0" percent="0" rank="0" text="" dxfId="0">
      <formula>AND(ISNUMBER($H$19),$H$19&lt;0)</formula>
    </cfRule>
  </conditionalFormatting>
  <conditionalFormatting sqref="I19">
    <cfRule type="expression" priority="25" aboveAverage="0" equalAverage="0" bottom="0" percent="0" rank="0" text="" dxfId="0">
      <formula>AND(ISNUMBER($I$19),$I$19&lt;0)</formula>
    </cfRule>
  </conditionalFormatting>
  <conditionalFormatting sqref="H20">
    <cfRule type="expression" priority="26" aboveAverage="0" equalAverage="0" bottom="0" percent="0" rank="0" text="" dxfId="0">
      <formula>AND(ISNUMBER($H$20),$H$20&lt;0)</formula>
    </cfRule>
  </conditionalFormatting>
  <conditionalFormatting sqref="I20">
    <cfRule type="expression" priority="27" aboveAverage="0" equalAverage="0" bottom="0" percent="0" rank="0" text="" dxfId="0">
      <formula>AND(ISNUMBER($I$20),$I$20&lt;0)</formula>
    </cfRule>
  </conditionalFormatting>
  <conditionalFormatting sqref="H21">
    <cfRule type="expression" priority="28" aboveAverage="0" equalAverage="0" bottom="0" percent="0" rank="0" text="" dxfId="0">
      <formula>AND(ISNUMBER($H$21),$H$21&lt;0)</formula>
    </cfRule>
  </conditionalFormatting>
  <conditionalFormatting sqref="I21">
    <cfRule type="expression" priority="29" aboveAverage="0" equalAverage="0" bottom="0" percent="0" rank="0" text="" dxfId="0">
      <formula>AND(ISNUMBER($I$21),$I$21&lt;0)</formula>
    </cfRule>
  </conditionalFormatting>
  <conditionalFormatting sqref="H22">
    <cfRule type="expression" priority="30" aboveAverage="0" equalAverage="0" bottom="0" percent="0" rank="0" text="" dxfId="0">
      <formula>AND(ISNUMBER($H$22),$H$22&lt;0)</formula>
    </cfRule>
  </conditionalFormatting>
  <conditionalFormatting sqref="I22">
    <cfRule type="expression" priority="31" aboveAverage="0" equalAverage="0" bottom="0" percent="0" rank="0" text="" dxfId="0">
      <formula>AND(ISNUMBER($I$22),$I$22&lt;0)</formula>
    </cfRule>
  </conditionalFormatting>
  <conditionalFormatting sqref="H23">
    <cfRule type="expression" priority="32" aboveAverage="0" equalAverage="0" bottom="0" percent="0" rank="0" text="" dxfId="0">
      <formula>AND(ISNUMBER($H$23),$H$23&lt;0)</formula>
    </cfRule>
  </conditionalFormatting>
  <conditionalFormatting sqref="I23">
    <cfRule type="expression" priority="33" aboveAverage="0" equalAverage="0" bottom="0" percent="0" rank="0" text="" dxfId="0">
      <formula>AND(ISNUMBER($I$23),$I$23&lt;0)</formula>
    </cfRule>
  </conditionalFormatting>
  <conditionalFormatting sqref="H24">
    <cfRule type="expression" priority="34" aboveAverage="0" equalAverage="0" bottom="0" percent="0" rank="0" text="" dxfId="0">
      <formula>AND(ISNUMBER($H$24),$H$24&lt;0)</formula>
    </cfRule>
  </conditionalFormatting>
  <conditionalFormatting sqref="I24">
    <cfRule type="expression" priority="35" aboveAverage="0" equalAverage="0" bottom="0" percent="0" rank="0" text="" dxfId="0">
      <formula>AND(ISNUMBER($I$24),$I$24&lt;0)</formula>
    </cfRule>
  </conditionalFormatting>
  <conditionalFormatting sqref="H25">
    <cfRule type="expression" priority="36" aboveAverage="0" equalAverage="0" bottom="0" percent="0" rank="0" text="" dxfId="0">
      <formula>AND(ISNUMBER($H$25),$H$25&lt;0)</formula>
    </cfRule>
  </conditionalFormatting>
  <conditionalFormatting sqref="I25">
    <cfRule type="expression" priority="37" aboveAverage="0" equalAverage="0" bottom="0" percent="0" rank="0" text="" dxfId="0">
      <formula>AND(ISNUMBER($I$25),$I$25&lt;0)</formula>
    </cfRule>
  </conditionalFormatting>
  <conditionalFormatting sqref="H26">
    <cfRule type="expression" priority="38" aboveAverage="0" equalAverage="0" bottom="0" percent="0" rank="0" text="" dxfId="0">
      <formula>AND(ISNUMBER($H$26),$H$26&lt;0)</formula>
    </cfRule>
  </conditionalFormatting>
  <conditionalFormatting sqref="I26">
    <cfRule type="expression" priority="39" aboveAverage="0" equalAverage="0" bottom="0" percent="0" rank="0" text="" dxfId="0">
      <formula>AND(ISNUMBER($I$26),$I$26&lt;0)</formula>
    </cfRule>
  </conditionalFormatting>
  <conditionalFormatting sqref="H27">
    <cfRule type="expression" priority="40" aboveAverage="0" equalAverage="0" bottom="0" percent="0" rank="0" text="" dxfId="0">
      <formula>AND(ISNUMBER($H$27),$H$27&lt;0)</formula>
    </cfRule>
  </conditionalFormatting>
  <conditionalFormatting sqref="I27">
    <cfRule type="expression" priority="41" aboveAverage="0" equalAverage="0" bottom="0" percent="0" rank="0" text="" dxfId="0">
      <formula>AND(ISNUMBER($I$27),$I$27&lt;0)</formula>
    </cfRule>
  </conditionalFormatting>
  <dataValidations count="1">
    <dataValidation allowBlank="true" error="Enter a number." errorStyle="stop" errorTitle="Value" operator="between" showDropDown="false" showErrorMessage="true" showInputMessage="false" sqref="C8:E27"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4B8A6"/>
    <pageSetUpPr fitToPage="true"/>
  </sheetPr>
  <dimension ref="A1:G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6" min="3" style="0" width="18"/>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47</v>
      </c>
      <c r="C2" s="1"/>
      <c r="D2" s="1"/>
      <c r="E2" s="1"/>
      <c r="F2" s="1"/>
      <c r="G2" s="1"/>
    </row>
    <row r="3" customFormat="false" ht="19.5" hidden="false" customHeight="true" outlineLevel="0" collapsed="false">
      <c r="A3" s="1"/>
      <c r="B3" s="3" t="s">
        <v>93</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94</v>
      </c>
      <c r="C7" s="6"/>
      <c r="D7" s="6"/>
      <c r="E7" s="6"/>
      <c r="F7" s="6"/>
    </row>
    <row r="8" customFormat="false" ht="15" hidden="false" customHeight="false" outlineLevel="0" collapsed="false">
      <c r="B8" s="18" t="s">
        <v>95</v>
      </c>
      <c r="C8" s="19" t="n">
        <v>250</v>
      </c>
    </row>
    <row r="9" customFormat="false" ht="15" hidden="false" customHeight="false" outlineLevel="0" collapsed="false">
      <c r="B9" s="18" t="s">
        <v>96</v>
      </c>
      <c r="C9" s="19" t="n">
        <v>160</v>
      </c>
    </row>
    <row r="10" customFormat="false" ht="15" hidden="false" customHeight="false" outlineLevel="0" collapsed="false">
      <c r="B10" s="18" t="s">
        <v>97</v>
      </c>
      <c r="C10" s="40" t="n">
        <v>1000</v>
      </c>
    </row>
    <row r="11" customFormat="false" ht="15" hidden="false" customHeight="false" outlineLevel="0" collapsed="false">
      <c r="B11" s="18" t="s">
        <v>98</v>
      </c>
      <c r="C11" s="50" t="n">
        <v>0.1</v>
      </c>
    </row>
    <row r="13" customFormat="false" ht="19.5" hidden="false" customHeight="true" outlineLevel="0" collapsed="false">
      <c r="B13" s="5" t="s">
        <v>99</v>
      </c>
      <c r="C13" s="6"/>
      <c r="D13" s="6"/>
      <c r="E13" s="6"/>
      <c r="F13" s="6"/>
    </row>
    <row r="14" customFormat="false" ht="15" hidden="false" customHeight="false" outlineLevel="0" collapsed="false">
      <c r="B14" s="31" t="s">
        <v>100</v>
      </c>
      <c r="C14" s="48" t="n">
        <f aca="false">IF(AND(ISNUMBER(D_Price),ISNUMBER(D_Cost),ISNUMBER(D_Units),ISNUMBER(D_Disc),D_Price&gt;0,D_Units&gt;0,D_Disc&lt;1),D_Price*(1-D_Disc),"—")</f>
        <v>225</v>
      </c>
    </row>
    <row r="15" customFormat="false" ht="15" hidden="false" customHeight="false" outlineLevel="0" collapsed="false">
      <c r="B15" s="31" t="s">
        <v>101</v>
      </c>
      <c r="C15" s="48" t="n">
        <f aca="false">IF(AND(ISNUMBER(D_Price),ISNUMBER(D_Cost),ISNUMBER(D_Units),ISNUMBER(D_Disc),D_Price&gt;0,D_Units&gt;0,D_Disc&lt;1),D_Price-D_Cost,"—")</f>
        <v>90</v>
      </c>
    </row>
    <row r="16" customFormat="false" ht="15" hidden="false" customHeight="false" outlineLevel="0" collapsed="false">
      <c r="B16" s="31" t="s">
        <v>102</v>
      </c>
      <c r="C16" s="48" t="n">
        <f aca="false">IF(AND(ISNUMBER(D_Price),ISNUMBER(D_Cost),ISNUMBER(D_Units),ISNUMBER(D_Disc),D_Price&gt;0,D_Units&gt;0,D_Disc&lt;1),D_NewPrice-D_Cost,"—")</f>
        <v>65</v>
      </c>
    </row>
    <row r="17" customFormat="false" ht="15" hidden="false" customHeight="false" outlineLevel="0" collapsed="false">
      <c r="B17" s="31" t="s">
        <v>103</v>
      </c>
      <c r="C17" s="49" t="n">
        <f aca="false">IF(AND(ISNUMBER(D_Price),ISNUMBER(D_Cost),ISNUMBER(D_Units),ISNUMBER(D_Disc),D_Price&gt;0,D_Units&gt;0,D_Disc&lt;1),D_GPBefore/D_Price,"—")</f>
        <v>0.36</v>
      </c>
    </row>
    <row r="18" customFormat="false" ht="15" hidden="false" customHeight="false" outlineLevel="0" collapsed="false">
      <c r="B18" s="31" t="s">
        <v>104</v>
      </c>
      <c r="C18" s="49" t="n">
        <f aca="false">IF(AND(AND(ISNUMBER(D_Price),ISNUMBER(D_Cost),ISNUMBER(D_Units),ISNUMBER(D_Disc),D_Price&gt;0,D_Units&gt;0,D_Disc&lt;1),ISNUMBER(D_NewPrice)),IF(D_NewPrice&gt;0,D_GPAfter/D_NewPrice,"—"),"—")</f>
        <v>0.288888888888889</v>
      </c>
    </row>
    <row r="19" customFormat="false" ht="15" hidden="false" customHeight="false" outlineLevel="0" collapsed="false">
      <c r="B19" s="31" t="s">
        <v>105</v>
      </c>
      <c r="C19" s="49" t="n">
        <f aca="false">IF(AND(AND(ISNUMBER(D_Price),ISNUMBER(D_Cost),ISNUMBER(D_Units),ISNUMBER(D_Disc),D_Price&gt;0,D_Units&gt;0,D_Disc&lt;1),ISNUMBER(D_GPBefore)),IF(D_GPBefore&gt;0,1-D_GPAfter/D_GPBefore,"—"),"—")</f>
        <v>0.277777777777778</v>
      </c>
    </row>
    <row r="20" customFormat="false" ht="15" hidden="false" customHeight="false" outlineLevel="0" collapsed="false">
      <c r="B20" s="31" t="s">
        <v>106</v>
      </c>
      <c r="C20" s="48" t="n">
        <f aca="false">IF(AND(ISNUMBER(D_Price),ISNUMBER(D_Cost),ISNUMBER(D_Units),ISNUMBER(D_Disc),D_Price&gt;0,D_Units&gt;0,D_Disc&lt;1),D_GPBefore*D_Units,"—")</f>
        <v>90000</v>
      </c>
    </row>
    <row r="21" customFormat="false" ht="15" hidden="false" customHeight="false" outlineLevel="0" collapsed="false">
      <c r="B21" s="31" t="s">
        <v>107</v>
      </c>
      <c r="C21" s="51" t="n">
        <f aca="false">IF(AND(AND(ISNUMBER(D_Price),ISNUMBER(D_Cost),ISNUMBER(D_Units),ISNUMBER(D_Disc),D_Price&gt;0,D_Units&gt;0,D_Disc&lt;1),ISNUMBER(D_GPAfter)),IF(AND(D_GPAfter&gt;0,D_TotalGP&gt;0),-INT(-D_TotalGP/D_GPAfter),"—"),"—")</f>
        <v>1385</v>
      </c>
    </row>
    <row r="22" customFormat="false" ht="15" hidden="false" customHeight="false" outlineLevel="0" collapsed="false">
      <c r="B22" s="31" t="s">
        <v>108</v>
      </c>
      <c r="C22" s="49" t="n">
        <f aca="false">IF(ISNUMBER(D_Needed),D_Needed/D_Units-1,"—")</f>
        <v>0.385</v>
      </c>
    </row>
    <row r="23" customFormat="false" ht="15" hidden="false" customHeight="false" outlineLevel="0" collapsed="false">
      <c r="D23" s="52" t="str">
        <f aca="false">IF(AND(AND(ISNUMBER(D_Price),ISNUMBER(D_Cost),ISNUMBER(D_Units),ISNUMBER(D_Disc),D_Price&gt;0,D_Units&gt;0,D_Disc&lt;1),ISNUMBER(D_GPAfter)),IF(D_GPAfter&lt;=0,"The discounted price does not cover the direct cost — no volume can recover it.",""),"")</f>
        <v/>
      </c>
      <c r="E23" s="52"/>
      <c r="F23" s="52"/>
    </row>
    <row r="25" customFormat="false" ht="19.5" hidden="false" customHeight="true" outlineLevel="0" collapsed="false">
      <c r="B25" s="5" t="s">
        <v>109</v>
      </c>
      <c r="C25" s="6"/>
      <c r="D25" s="6"/>
      <c r="E25" s="6"/>
      <c r="F25" s="6"/>
    </row>
    <row r="26" customFormat="false" ht="30" hidden="false" customHeight="true" outlineLevel="0" collapsed="false">
      <c r="B26" s="24" t="s">
        <v>110</v>
      </c>
      <c r="C26" s="25" t="s">
        <v>111</v>
      </c>
      <c r="D26" s="25" t="s">
        <v>112</v>
      </c>
      <c r="E26" s="25" t="s">
        <v>113</v>
      </c>
      <c r="F26" s="25" t="s">
        <v>114</v>
      </c>
    </row>
    <row r="27" customFormat="false" ht="15" hidden="false" customHeight="false" outlineLevel="0" collapsed="false">
      <c r="B27" s="53" t="n">
        <v>0.05</v>
      </c>
      <c r="C27" s="28" t="n">
        <f aca="false">IF(AND(ISNUMBER(D_Price),ISNUMBER(D_Cost),ISNUMBER(D_Units),D_Price&gt;0,D_Units&gt;0),D_Price*(1-B27),"—")</f>
        <v>237.5</v>
      </c>
      <c r="D27" s="28" t="n">
        <f aca="false">IF(AND(ISNUMBER(D_Price),ISNUMBER(D_Cost),ISNUMBER(D_Units),D_Price&gt;0,D_Units&gt;0),C27-D_Cost,"—")</f>
        <v>77.5</v>
      </c>
      <c r="E27" s="54" t="n">
        <f aca="false">IF(AND(AND(ISNUMBER(D_Price),ISNUMBER(D_Cost),ISNUMBER(D_Units),D_Price&gt;0,D_Units&gt;0),ISNUMBER(D27)),IF(AND(D27&gt;0,D_Price&gt;D_Cost),-INT(-(D_Price-D_Cost)*D_Units/D27),"—"),"—")</f>
        <v>1162</v>
      </c>
      <c r="F27" s="29" t="n">
        <f aca="false">IF(ISNUMBER(E27),E27/D_Units-1,"—")</f>
        <v>0.162</v>
      </c>
    </row>
    <row r="28" customFormat="false" ht="15" hidden="false" customHeight="false" outlineLevel="0" collapsed="false">
      <c r="B28" s="53" t="n">
        <v>0.1</v>
      </c>
      <c r="C28" s="28" t="n">
        <f aca="false">IF(AND(ISNUMBER(D_Price),ISNUMBER(D_Cost),ISNUMBER(D_Units),D_Price&gt;0,D_Units&gt;0),D_Price*(1-B28),"—")</f>
        <v>225</v>
      </c>
      <c r="D28" s="28" t="n">
        <f aca="false">IF(AND(ISNUMBER(D_Price),ISNUMBER(D_Cost),ISNUMBER(D_Units),D_Price&gt;0,D_Units&gt;0),C28-D_Cost,"—")</f>
        <v>65</v>
      </c>
      <c r="E28" s="54" t="n">
        <f aca="false">IF(AND(AND(ISNUMBER(D_Price),ISNUMBER(D_Cost),ISNUMBER(D_Units),D_Price&gt;0,D_Units&gt;0),ISNUMBER(D28)),IF(AND(D28&gt;0,D_Price&gt;D_Cost),-INT(-(D_Price-D_Cost)*D_Units/D28),"—"),"—")</f>
        <v>1385</v>
      </c>
      <c r="F28" s="29" t="n">
        <f aca="false">IF(ISNUMBER(E28),E28/D_Units-1,"—")</f>
        <v>0.385</v>
      </c>
    </row>
    <row r="29" customFormat="false" ht="15" hidden="false" customHeight="false" outlineLevel="0" collapsed="false">
      <c r="B29" s="53" t="n">
        <v>0.15</v>
      </c>
      <c r="C29" s="28" t="n">
        <f aca="false">IF(AND(ISNUMBER(D_Price),ISNUMBER(D_Cost),ISNUMBER(D_Units),D_Price&gt;0,D_Units&gt;0),D_Price*(1-B29),"—")</f>
        <v>212.5</v>
      </c>
      <c r="D29" s="28" t="n">
        <f aca="false">IF(AND(ISNUMBER(D_Price),ISNUMBER(D_Cost),ISNUMBER(D_Units),D_Price&gt;0,D_Units&gt;0),C29-D_Cost,"—")</f>
        <v>52.5</v>
      </c>
      <c r="E29" s="54" t="n">
        <f aca="false">IF(AND(AND(ISNUMBER(D_Price),ISNUMBER(D_Cost),ISNUMBER(D_Units),D_Price&gt;0,D_Units&gt;0),ISNUMBER(D29)),IF(AND(D29&gt;0,D_Price&gt;D_Cost),-INT(-(D_Price-D_Cost)*D_Units/D29),"—"),"—")</f>
        <v>1715</v>
      </c>
      <c r="F29" s="29" t="n">
        <f aca="false">IF(ISNUMBER(E29),E29/D_Units-1,"—")</f>
        <v>0.715</v>
      </c>
    </row>
    <row r="30" customFormat="false" ht="15" hidden="false" customHeight="false" outlineLevel="0" collapsed="false">
      <c r="B30" s="53" t="n">
        <v>0.2</v>
      </c>
      <c r="C30" s="28" t="n">
        <f aca="false">IF(AND(ISNUMBER(D_Price),ISNUMBER(D_Cost),ISNUMBER(D_Units),D_Price&gt;0,D_Units&gt;0),D_Price*(1-B30),"—")</f>
        <v>200</v>
      </c>
      <c r="D30" s="28" t="n">
        <f aca="false">IF(AND(ISNUMBER(D_Price),ISNUMBER(D_Cost),ISNUMBER(D_Units),D_Price&gt;0,D_Units&gt;0),C30-D_Cost,"—")</f>
        <v>40</v>
      </c>
      <c r="E30" s="54" t="n">
        <f aca="false">IF(AND(AND(ISNUMBER(D_Price),ISNUMBER(D_Cost),ISNUMBER(D_Units),D_Price&gt;0,D_Units&gt;0),ISNUMBER(D30)),IF(AND(D30&gt;0,D_Price&gt;D_Cost),-INT(-(D_Price-D_Cost)*D_Units/D30),"—"),"—")</f>
        <v>2250</v>
      </c>
      <c r="F30" s="29" t="n">
        <f aca="false">IF(ISNUMBER(E30),E30/D_Units-1,"—")</f>
        <v>1.25</v>
      </c>
    </row>
    <row r="31" customFormat="false" ht="15" hidden="false" customHeight="false" outlineLevel="0" collapsed="false">
      <c r="B31" s="53" t="n">
        <v>0.25</v>
      </c>
      <c r="C31" s="28" t="n">
        <f aca="false">IF(AND(ISNUMBER(D_Price),ISNUMBER(D_Cost),ISNUMBER(D_Units),D_Price&gt;0,D_Units&gt;0),D_Price*(1-B31),"—")</f>
        <v>187.5</v>
      </c>
      <c r="D31" s="28" t="n">
        <f aca="false">IF(AND(ISNUMBER(D_Price),ISNUMBER(D_Cost),ISNUMBER(D_Units),D_Price&gt;0,D_Units&gt;0),C31-D_Cost,"—")</f>
        <v>27.5</v>
      </c>
      <c r="E31" s="54" t="n">
        <f aca="false">IF(AND(AND(ISNUMBER(D_Price),ISNUMBER(D_Cost),ISNUMBER(D_Units),D_Price&gt;0,D_Units&gt;0),ISNUMBER(D31)),IF(AND(D31&gt;0,D_Price&gt;D_Cost),-INT(-(D_Price-D_Cost)*D_Units/D31),"—"),"—")</f>
        <v>3273</v>
      </c>
      <c r="F31" s="29" t="n">
        <f aca="false">IF(ISNUMBER(E31),E31/D_Units-1,"—")</f>
        <v>2.273</v>
      </c>
    </row>
    <row r="32" customFormat="false" ht="15" hidden="false" customHeight="false" outlineLevel="0" collapsed="false">
      <c r="B32" s="53" t="n">
        <v>0.3</v>
      </c>
      <c r="C32" s="28" t="n">
        <f aca="false">IF(AND(ISNUMBER(D_Price),ISNUMBER(D_Cost),ISNUMBER(D_Units),D_Price&gt;0,D_Units&gt;0),D_Price*(1-B32),"—")</f>
        <v>175</v>
      </c>
      <c r="D32" s="28" t="n">
        <f aca="false">IF(AND(ISNUMBER(D_Price),ISNUMBER(D_Cost),ISNUMBER(D_Units),D_Price&gt;0,D_Units&gt;0),C32-D_Cost,"—")</f>
        <v>15</v>
      </c>
      <c r="E32" s="54" t="n">
        <f aca="false">IF(AND(AND(ISNUMBER(D_Price),ISNUMBER(D_Cost),ISNUMBER(D_Units),D_Price&gt;0,D_Units&gt;0),ISNUMBER(D32)),IF(AND(D32&gt;0,D_Price&gt;D_Cost),-INT(-(D_Price-D_Cost)*D_Units/D32),"—"),"—")</f>
        <v>6000</v>
      </c>
      <c r="F32" s="29" t="n">
        <f aca="false">IF(ISNUMBER(E32),E32/D_Units-1,"—")</f>
        <v>5</v>
      </c>
    </row>
    <row r="34" customFormat="false" ht="30" hidden="false" customHeight="true" outlineLevel="0" collapsed="false">
      <c r="B34" s="20" t="s">
        <v>115</v>
      </c>
      <c r="C34" s="20"/>
      <c r="D34" s="20"/>
      <c r="E34" s="20"/>
      <c r="F34" s="20"/>
    </row>
    <row r="35" customFormat="false" ht="15" hidden="false" customHeight="false" outlineLevel="0" collapsed="false">
      <c r="B35" s="20"/>
      <c r="C35" s="20"/>
      <c r="D35" s="20"/>
      <c r="E35" s="20"/>
      <c r="F35" s="20"/>
    </row>
  </sheetData>
  <mergeCells count="2">
    <mergeCell ref="D23:F23"/>
    <mergeCell ref="B34:F35"/>
  </mergeCells>
  <conditionalFormatting sqref="C14">
    <cfRule type="expression" priority="2" aboveAverage="0" equalAverage="0" bottom="0" percent="0" rank="0" text="" dxfId="1">
      <formula>AND(ISNUMBER($C$14),$C$14&lt;0)</formula>
    </cfRule>
  </conditionalFormatting>
  <conditionalFormatting sqref="C15">
    <cfRule type="expression" priority="3" aboveAverage="0" equalAverage="0" bottom="0" percent="0" rank="0" text="" dxfId="1">
      <formula>AND(ISNUMBER($C$15),$C$15&lt;0)</formula>
    </cfRule>
  </conditionalFormatting>
  <conditionalFormatting sqref="C16">
    <cfRule type="expression" priority="4" aboveAverage="0" equalAverage="0" bottom="0" percent="0" rank="0" text="" dxfId="1">
      <formula>AND(ISNUMBER($C$16),$C$16&lt;0)</formula>
    </cfRule>
  </conditionalFormatting>
  <conditionalFormatting sqref="C17">
    <cfRule type="expression" priority="5" aboveAverage="0" equalAverage="0" bottom="0" percent="0" rank="0" text="" dxfId="1">
      <formula>AND(ISNUMBER($C$17),$C$17&lt;0)</formula>
    </cfRule>
  </conditionalFormatting>
  <conditionalFormatting sqref="C18">
    <cfRule type="expression" priority="6" aboveAverage="0" equalAverage="0" bottom="0" percent="0" rank="0" text="" dxfId="1">
      <formula>AND(ISNUMBER($C$18),$C$18&lt;0)</formula>
    </cfRule>
  </conditionalFormatting>
  <conditionalFormatting sqref="C19">
    <cfRule type="expression" priority="7" aboveAverage="0" equalAverage="0" bottom="0" percent="0" rank="0" text="" dxfId="1">
      <formula>AND(ISNUMBER($C$19),$C$19&lt;0)</formula>
    </cfRule>
  </conditionalFormatting>
  <conditionalFormatting sqref="C20">
    <cfRule type="expression" priority="8" aboveAverage="0" equalAverage="0" bottom="0" percent="0" rank="0" text="" dxfId="1">
      <formula>AND(ISNUMBER($C$20),$C$20&lt;0)</formula>
    </cfRule>
  </conditionalFormatting>
  <conditionalFormatting sqref="C21">
    <cfRule type="expression" priority="9" aboveAverage="0" equalAverage="0" bottom="0" percent="0" rank="0" text="" dxfId="1">
      <formula>AND(ISNUMBER($C$21),$C$21&lt;0)</formula>
    </cfRule>
  </conditionalFormatting>
  <conditionalFormatting sqref="C22">
    <cfRule type="expression" priority="10" aboveAverage="0" equalAverage="0" bottom="0" percent="0" rank="0" text="" dxfId="1">
      <formula>AND(ISNUMBER($C$22),$C$22&lt;0)</formula>
    </cfRule>
  </conditionalFormatting>
  <conditionalFormatting sqref="D27">
    <cfRule type="expression" priority="11" aboveAverage="0" equalAverage="0" bottom="0" percent="0" rank="0" text="" dxfId="0">
      <formula>AND(ISNUMBER($D$27),$D$27&lt;0)</formula>
    </cfRule>
  </conditionalFormatting>
  <conditionalFormatting sqref="D28">
    <cfRule type="expression" priority="12" aboveAverage="0" equalAverage="0" bottom="0" percent="0" rank="0" text="" dxfId="0">
      <formula>AND(ISNUMBER($D$28),$D$28&lt;0)</formula>
    </cfRule>
  </conditionalFormatting>
  <conditionalFormatting sqref="D29">
    <cfRule type="expression" priority="13" aboveAverage="0" equalAverage="0" bottom="0" percent="0" rank="0" text="" dxfId="0">
      <formula>AND(ISNUMBER($D$29),$D$29&lt;0)</formula>
    </cfRule>
  </conditionalFormatting>
  <conditionalFormatting sqref="D30">
    <cfRule type="expression" priority="14" aboveAverage="0" equalAverage="0" bottom="0" percent="0" rank="0" text="" dxfId="0">
      <formula>AND(ISNUMBER($D$30),$D$30&lt;0)</formula>
    </cfRule>
  </conditionalFormatting>
  <conditionalFormatting sqref="D31">
    <cfRule type="expression" priority="15" aboveAverage="0" equalAverage="0" bottom="0" percent="0" rank="0" text="" dxfId="0">
      <formula>AND(ISNUMBER($D$31),$D$31&lt;0)</formula>
    </cfRule>
  </conditionalFormatting>
  <conditionalFormatting sqref="D32">
    <cfRule type="expression" priority="16" aboveAverage="0" equalAverage="0" bottom="0" percent="0" rank="0" text="" dxfId="0">
      <formula>AND(ISNUMBER($D$32),$D$32&lt;0)</formula>
    </cfRule>
  </conditionalFormatting>
  <dataValidations count="1">
    <dataValidation allowBlank="true" error="Enter a number." errorStyle="stop" errorTitle="Value" operator="between" showDropDown="false" showErrorMessage="true" showInputMessage="false" sqref="C8:C11" type="decimal">
      <formula1>-1000000000000000</formula1>
      <formula2>0</formula2>
    </dataValidation>
  </dataValidation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5" min="3" style="0" width="16"/>
    <col collapsed="false" customWidth="true" hidden="false" outlineLevel="0" max="6" min="6" style="0" width="40"/>
    <col collapsed="false" customWidth="true" hidden="false" outlineLevel="0" max="7" min="7" style="0" width="3"/>
  </cols>
  <sheetData>
    <row r="1" customFormat="false" ht="7.5" hidden="false" customHeight="true" outlineLevel="0" collapsed="false">
      <c r="A1" s="1"/>
      <c r="B1" s="1"/>
      <c r="C1" s="1"/>
      <c r="D1" s="1"/>
      <c r="E1" s="1"/>
      <c r="F1" s="1"/>
      <c r="G1" s="1"/>
    </row>
    <row r="2" customFormat="false" ht="30" hidden="false" customHeight="true" outlineLevel="0" collapsed="false">
      <c r="A2" s="1"/>
      <c r="B2" s="2" t="s">
        <v>49</v>
      </c>
      <c r="C2" s="1"/>
      <c r="D2" s="1"/>
      <c r="E2" s="1"/>
      <c r="F2" s="1"/>
      <c r="G2" s="1"/>
    </row>
    <row r="3" customFormat="false" ht="19.5" hidden="false" customHeight="true" outlineLevel="0" collapsed="false">
      <c r="A3" s="1"/>
      <c r="B3" s="3" t="s">
        <v>116</v>
      </c>
      <c r="C3" s="1"/>
      <c r="D3" s="1"/>
      <c r="E3" s="1"/>
      <c r="F3" s="1"/>
      <c r="G3" s="1"/>
    </row>
    <row r="4" customFormat="false" ht="7.5" hidden="false" customHeight="true" outlineLevel="0" collapsed="false">
      <c r="A4" s="1"/>
      <c r="B4" s="1"/>
      <c r="C4" s="1"/>
      <c r="D4" s="1"/>
      <c r="E4" s="1"/>
      <c r="F4" s="1"/>
      <c r="G4" s="1"/>
    </row>
    <row r="5" customFormat="false" ht="3" hidden="false" customHeight="true" outlineLevel="0" collapsed="false">
      <c r="A5" s="4"/>
      <c r="B5" s="4"/>
      <c r="C5" s="4"/>
      <c r="D5" s="4"/>
      <c r="E5" s="4"/>
      <c r="F5" s="4"/>
      <c r="G5" s="4"/>
    </row>
    <row r="7" customFormat="false" ht="19.5" hidden="false" customHeight="true" outlineLevel="0" collapsed="false">
      <c r="B7" s="5" t="s">
        <v>117</v>
      </c>
      <c r="C7" s="6"/>
      <c r="D7" s="6"/>
      <c r="E7" s="6"/>
      <c r="F7" s="6"/>
    </row>
    <row r="8" customFormat="false" ht="30" hidden="false" customHeight="true" outlineLevel="0" collapsed="false">
      <c r="B8" s="7" t="s">
        <v>118</v>
      </c>
      <c r="C8" s="7"/>
      <c r="D8" s="7"/>
      <c r="E8" s="7"/>
      <c r="F8" s="7"/>
    </row>
    <row r="9" customFormat="false" ht="15" hidden="false" customHeight="false" outlineLevel="0" collapsed="false">
      <c r="B9" s="18" t="s">
        <v>14</v>
      </c>
      <c r="C9" s="19" t="n">
        <v>250000</v>
      </c>
    </row>
    <row r="10" customFormat="false" ht="15" hidden="false" customHeight="false" outlineLevel="0" collapsed="false">
      <c r="B10" s="18" t="s">
        <v>16</v>
      </c>
      <c r="C10" s="19" t="n">
        <v>160000</v>
      </c>
    </row>
    <row r="11" customFormat="false" ht="15" hidden="false" customHeight="true" outlineLevel="0" collapsed="false">
      <c r="B11" s="31" t="s">
        <v>65</v>
      </c>
      <c r="C11" s="48" t="n">
        <f aca="false">C9-C10</f>
        <v>90000</v>
      </c>
      <c r="D11" s="20" t="s">
        <v>119</v>
      </c>
      <c r="E11" s="20"/>
      <c r="F11" s="20"/>
    </row>
    <row r="12" customFormat="false" ht="15" hidden="false" customHeight="true" outlineLevel="0" collapsed="false">
      <c r="B12" s="31" t="s">
        <v>28</v>
      </c>
      <c r="C12" s="49" t="n">
        <f aca="false">(C9-C10)/C9</f>
        <v>0.36</v>
      </c>
      <c r="D12" s="20" t="s">
        <v>120</v>
      </c>
      <c r="E12" s="20"/>
      <c r="F12" s="20"/>
    </row>
    <row r="13" customFormat="false" ht="15" hidden="false" customHeight="true" outlineLevel="0" collapsed="false">
      <c r="B13" s="31" t="s">
        <v>121</v>
      </c>
      <c r="C13" s="49" t="n">
        <f aca="false">C10/C9</f>
        <v>0.64</v>
      </c>
      <c r="D13" s="20" t="s">
        <v>122</v>
      </c>
      <c r="E13" s="20"/>
      <c r="F13" s="20"/>
    </row>
    <row r="14" customFormat="false" ht="15" hidden="false" customHeight="true" outlineLevel="0" collapsed="false">
      <c r="B14" s="31" t="s">
        <v>123</v>
      </c>
      <c r="C14" s="48" t="n">
        <f aca="false">C11-70000</f>
        <v>20000</v>
      </c>
      <c r="D14" s="20" t="s">
        <v>124</v>
      </c>
      <c r="E14" s="20"/>
      <c r="F14" s="20"/>
    </row>
    <row r="15" customFormat="false" ht="15" hidden="false" customHeight="true" outlineLevel="0" collapsed="false">
      <c r="B15" s="31" t="s">
        <v>125</v>
      </c>
      <c r="C15" s="48" t="n">
        <f aca="false">C11-95000</f>
        <v>-5000</v>
      </c>
      <c r="D15" s="20" t="s">
        <v>126</v>
      </c>
      <c r="E15" s="20"/>
      <c r="F15" s="20"/>
    </row>
    <row r="17" customFormat="false" ht="19.5" hidden="false" customHeight="true" outlineLevel="0" collapsed="false">
      <c r="B17" s="5" t="s">
        <v>127</v>
      </c>
      <c r="C17" s="6"/>
      <c r="D17" s="6"/>
      <c r="E17" s="6"/>
      <c r="F17" s="6"/>
    </row>
    <row r="18" customFormat="false" ht="30" hidden="false" customHeight="true" outlineLevel="0" collapsed="false">
      <c r="B18" s="7" t="s">
        <v>128</v>
      </c>
      <c r="C18" s="7"/>
      <c r="D18" s="7"/>
      <c r="E18" s="7"/>
      <c r="F18" s="7"/>
    </row>
    <row r="19" customFormat="false" ht="15" hidden="false" customHeight="true" outlineLevel="0" collapsed="false">
      <c r="B19" s="31" t="s">
        <v>129</v>
      </c>
      <c r="C19" s="49" t="n">
        <f aca="false">C11/C9</f>
        <v>0.36</v>
      </c>
      <c r="D19" s="20" t="s">
        <v>120</v>
      </c>
      <c r="E19" s="20"/>
      <c r="F19" s="20"/>
    </row>
    <row r="20" customFormat="false" ht="15" hidden="false" customHeight="true" outlineLevel="0" collapsed="false">
      <c r="B20" s="31" t="s">
        <v>130</v>
      </c>
      <c r="C20" s="49" t="n">
        <f aca="false">C11/C10</f>
        <v>0.5625</v>
      </c>
      <c r="D20" s="20" t="s">
        <v>131</v>
      </c>
      <c r="E20" s="20"/>
      <c r="F20" s="20"/>
    </row>
    <row r="22" customFormat="false" ht="19.5" hidden="false" customHeight="true" outlineLevel="0" collapsed="false">
      <c r="B22" s="5" t="s">
        <v>132</v>
      </c>
      <c r="C22" s="6"/>
      <c r="D22" s="6"/>
      <c r="E22" s="6"/>
      <c r="F22" s="6"/>
    </row>
    <row r="23" customFormat="false" ht="30" hidden="false" customHeight="true" outlineLevel="0" collapsed="false">
      <c r="B23" s="7" t="s">
        <v>133</v>
      </c>
      <c r="C23" s="7"/>
      <c r="D23" s="7"/>
      <c r="E23" s="7"/>
      <c r="F23" s="7"/>
    </row>
    <row r="24" customFormat="false" ht="15" hidden="false" customHeight="false" outlineLevel="0" collapsed="false">
      <c r="B24" s="18" t="s">
        <v>77</v>
      </c>
      <c r="C24" s="19" t="n">
        <v>250</v>
      </c>
    </row>
    <row r="25" customFormat="false" ht="15" hidden="false" customHeight="false" outlineLevel="0" collapsed="false">
      <c r="B25" s="18" t="s">
        <v>78</v>
      </c>
      <c r="C25" s="19" t="n">
        <v>160</v>
      </c>
    </row>
    <row r="26" customFormat="false" ht="15" hidden="false" customHeight="false" outlineLevel="0" collapsed="false">
      <c r="B26" s="18" t="s">
        <v>134</v>
      </c>
      <c r="C26" s="40" t="n">
        <v>1000</v>
      </c>
    </row>
    <row r="27" customFormat="false" ht="15" hidden="false" customHeight="false" outlineLevel="0" collapsed="false">
      <c r="B27" s="18" t="s">
        <v>110</v>
      </c>
      <c r="C27" s="50" t="n">
        <v>0.1</v>
      </c>
    </row>
    <row r="28" customFormat="false" ht="15" hidden="false" customHeight="true" outlineLevel="0" collapsed="false">
      <c r="B28" s="31" t="s">
        <v>101</v>
      </c>
      <c r="C28" s="48" t="n">
        <f aca="false">C24-C25</f>
        <v>90</v>
      </c>
      <c r="D28" s="20" t="s">
        <v>135</v>
      </c>
      <c r="E28" s="20"/>
      <c r="F28" s="20"/>
    </row>
    <row r="29" customFormat="false" ht="15" hidden="false" customHeight="true" outlineLevel="0" collapsed="false">
      <c r="B29" s="31" t="s">
        <v>102</v>
      </c>
      <c r="C29" s="48" t="n">
        <f aca="false">C24*(1-C27)-C25</f>
        <v>65</v>
      </c>
      <c r="D29" s="20" t="s">
        <v>136</v>
      </c>
      <c r="E29" s="20"/>
      <c r="F29" s="20"/>
    </row>
    <row r="30" customFormat="false" ht="15" hidden="false" customHeight="true" outlineLevel="0" collapsed="false">
      <c r="B30" s="31" t="s">
        <v>137</v>
      </c>
      <c r="C30" s="51" t="n">
        <f aca="false">-INT(-C28*C26/C29)</f>
        <v>1385</v>
      </c>
      <c r="D30" s="20" t="s">
        <v>138</v>
      </c>
      <c r="E30" s="20"/>
      <c r="F30" s="20"/>
    </row>
    <row r="31" customFormat="false" ht="15" hidden="false" customHeight="true" outlineLevel="0" collapsed="false">
      <c r="B31" s="31" t="s">
        <v>108</v>
      </c>
      <c r="C31" s="49" t="n">
        <f aca="false">C30/C26-1</f>
        <v>0.385</v>
      </c>
      <c r="D31" s="20" t="s">
        <v>139</v>
      </c>
      <c r="E31" s="20"/>
      <c r="F31" s="20"/>
    </row>
    <row r="32" customFormat="false" ht="15" hidden="false" customHeight="true" outlineLevel="0" collapsed="false">
      <c r="B32" s="31" t="s">
        <v>140</v>
      </c>
      <c r="C32" s="49" t="n">
        <f aca="false">1-C29/C28</f>
        <v>0.277777777777778</v>
      </c>
      <c r="D32" s="20" t="s">
        <v>141</v>
      </c>
      <c r="E32" s="20"/>
      <c r="F32" s="20"/>
    </row>
    <row r="34" customFormat="false" ht="15" hidden="false" customHeight="true" outlineLevel="0" collapsed="false">
      <c r="B34" s="15" t="s">
        <v>142</v>
      </c>
      <c r="C34" s="15"/>
      <c r="D34" s="15"/>
      <c r="E34" s="15"/>
      <c r="F34" s="15"/>
    </row>
  </sheetData>
  <mergeCells count="16">
    <mergeCell ref="B8:F8"/>
    <mergeCell ref="D11:F11"/>
    <mergeCell ref="D12:F12"/>
    <mergeCell ref="D13:F13"/>
    <mergeCell ref="D14:F14"/>
    <mergeCell ref="D15:F15"/>
    <mergeCell ref="B18:F18"/>
    <mergeCell ref="D19:F19"/>
    <mergeCell ref="D20:F20"/>
    <mergeCell ref="B23:F23"/>
    <mergeCell ref="D28:F28"/>
    <mergeCell ref="D29:F29"/>
    <mergeCell ref="D30:F30"/>
    <mergeCell ref="D31:F31"/>
    <mergeCell ref="D32:F32"/>
    <mergeCell ref="B34:F34"/>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E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50"/>
    <col collapsed="false" customWidth="true" hidden="false" outlineLevel="0" max="4" min="4" style="0" width="52"/>
    <col collapsed="false" customWidth="true" hidden="false" outlineLevel="0" max="5" min="5" style="0" width="3"/>
  </cols>
  <sheetData>
    <row r="1" customFormat="false" ht="7.5" hidden="false" customHeight="true" outlineLevel="0" collapsed="false">
      <c r="A1" s="1"/>
      <c r="B1" s="1"/>
      <c r="C1" s="1"/>
      <c r="D1" s="1"/>
      <c r="E1" s="1"/>
    </row>
    <row r="2" customFormat="false" ht="30" hidden="false" customHeight="true" outlineLevel="0" collapsed="false">
      <c r="A2" s="1"/>
      <c r="B2" s="2" t="s">
        <v>51</v>
      </c>
      <c r="C2" s="1"/>
      <c r="D2" s="1"/>
      <c r="E2" s="1"/>
    </row>
    <row r="3" customFormat="false" ht="19.5" hidden="false" customHeight="true" outlineLevel="0" collapsed="false">
      <c r="A3" s="1"/>
      <c r="B3" s="3" t="s">
        <v>143</v>
      </c>
      <c r="C3" s="1"/>
      <c r="D3" s="1"/>
      <c r="E3" s="1"/>
    </row>
    <row r="4" customFormat="false" ht="7.5" hidden="false" customHeight="true" outlineLevel="0" collapsed="false">
      <c r="A4" s="1"/>
      <c r="B4" s="1"/>
      <c r="C4" s="1"/>
      <c r="D4" s="1"/>
      <c r="E4" s="1"/>
    </row>
    <row r="5" customFormat="false" ht="3" hidden="false" customHeight="true" outlineLevel="0" collapsed="false">
      <c r="A5" s="4"/>
      <c r="B5" s="4"/>
      <c r="C5" s="4"/>
      <c r="D5" s="4"/>
      <c r="E5" s="4"/>
    </row>
    <row r="7" customFormat="false" ht="19.5" hidden="false" customHeight="true" outlineLevel="0" collapsed="false">
      <c r="B7" s="5" t="s">
        <v>144</v>
      </c>
      <c r="C7" s="6"/>
      <c r="D7" s="6"/>
    </row>
    <row r="8" customFormat="false" ht="19.5" hidden="false" customHeight="true" outlineLevel="0" collapsed="false">
      <c r="B8" s="24" t="s">
        <v>99</v>
      </c>
      <c r="C8" s="25" t="s">
        <v>145</v>
      </c>
      <c r="D8" s="25" t="s">
        <v>146</v>
      </c>
    </row>
    <row r="9" customFormat="false" ht="30" hidden="false" customHeight="true" outlineLevel="0" collapsed="false">
      <c r="B9" s="55" t="s">
        <v>65</v>
      </c>
      <c r="C9" s="56" t="s">
        <v>147</v>
      </c>
      <c r="D9" s="57" t="s">
        <v>148</v>
      </c>
    </row>
    <row r="10" customFormat="false" ht="30" hidden="false" customHeight="true" outlineLevel="0" collapsed="false">
      <c r="B10" s="55" t="s">
        <v>28</v>
      </c>
      <c r="C10" s="56" t="s">
        <v>149</v>
      </c>
      <c r="D10" s="57" t="s">
        <v>150</v>
      </c>
    </row>
    <row r="11" customFormat="false" ht="30" hidden="false" customHeight="true" outlineLevel="0" collapsed="false">
      <c r="B11" s="55" t="s">
        <v>30</v>
      </c>
      <c r="C11" s="56" t="s">
        <v>151</v>
      </c>
      <c r="D11" s="57" t="s">
        <v>152</v>
      </c>
    </row>
    <row r="12" customFormat="false" ht="30" hidden="false" customHeight="true" outlineLevel="0" collapsed="false">
      <c r="B12" s="55" t="s">
        <v>66</v>
      </c>
      <c r="C12" s="56" t="s">
        <v>153</v>
      </c>
      <c r="D12" s="57" t="s">
        <v>154</v>
      </c>
    </row>
    <row r="13" customFormat="false" ht="30" hidden="false" customHeight="true" outlineLevel="0" collapsed="false">
      <c r="B13" s="55" t="s">
        <v>155</v>
      </c>
      <c r="C13" s="56" t="s">
        <v>156</v>
      </c>
      <c r="D13" s="57" t="s">
        <v>157</v>
      </c>
    </row>
    <row r="15" customFormat="false" ht="19.5" hidden="false" customHeight="true" outlineLevel="0" collapsed="false">
      <c r="B15" s="5" t="s">
        <v>158</v>
      </c>
      <c r="C15" s="6"/>
      <c r="D15" s="6"/>
    </row>
    <row r="16" customFormat="false" ht="18" hidden="false" customHeight="true" outlineLevel="0" collapsed="false">
      <c r="B16" s="7" t="s">
        <v>159</v>
      </c>
      <c r="C16" s="7"/>
      <c r="D16" s="7"/>
    </row>
    <row r="17" customFormat="false" ht="18" hidden="false" customHeight="true" outlineLevel="0" collapsed="false">
      <c r="B17" s="7" t="s">
        <v>160</v>
      </c>
      <c r="C17" s="7"/>
      <c r="D17" s="7"/>
    </row>
    <row r="18" customFormat="false" ht="18" hidden="false" customHeight="true" outlineLevel="0" collapsed="false">
      <c r="B18" s="7" t="s">
        <v>161</v>
      </c>
      <c r="C18" s="7"/>
      <c r="D18" s="7"/>
    </row>
    <row r="19" customFormat="false" ht="18" hidden="false" customHeight="true" outlineLevel="0" collapsed="false">
      <c r="B19" s="7" t="s">
        <v>162</v>
      </c>
      <c r="C19" s="7"/>
      <c r="D19" s="7"/>
    </row>
    <row r="21" customFormat="false" ht="19.5" hidden="false" customHeight="true" outlineLevel="0" collapsed="false">
      <c r="B21" s="5" t="s">
        <v>163</v>
      </c>
      <c r="C21" s="6"/>
      <c r="D21" s="6"/>
    </row>
    <row r="22" customFormat="false" ht="18" hidden="false" customHeight="true" outlineLevel="0" collapsed="false">
      <c r="B22" s="8" t="s">
        <v>164</v>
      </c>
      <c r="C22" s="7" t="s">
        <v>165</v>
      </c>
      <c r="D22" s="7"/>
    </row>
    <row r="23" customFormat="false" ht="18" hidden="false" customHeight="true" outlineLevel="0" collapsed="false">
      <c r="B23" s="8" t="s">
        <v>28</v>
      </c>
      <c r="C23" s="58" t="s">
        <v>166</v>
      </c>
      <c r="D23" s="58"/>
    </row>
    <row r="24" customFormat="false" ht="18" hidden="false" customHeight="true" outlineLevel="0" collapsed="false">
      <c r="B24" s="8" t="s">
        <v>167</v>
      </c>
      <c r="C24" s="58" t="s">
        <v>168</v>
      </c>
      <c r="D24" s="58"/>
    </row>
    <row r="25" customFormat="false" ht="18" hidden="false" customHeight="true" outlineLevel="0" collapsed="false">
      <c r="B25" s="8" t="s">
        <v>169</v>
      </c>
      <c r="C25" s="58" t="s">
        <v>170</v>
      </c>
      <c r="D25" s="58"/>
    </row>
    <row r="27" customFormat="false" ht="19.5" hidden="false" customHeight="true" outlineLevel="0" collapsed="false">
      <c r="B27" s="5" t="s">
        <v>171</v>
      </c>
      <c r="C27" s="6"/>
      <c r="D27" s="6"/>
    </row>
    <row r="28" customFormat="false" ht="15" hidden="false" customHeight="false" outlineLevel="0" collapsed="false">
      <c r="B28" s="59" t="s">
        <v>14</v>
      </c>
      <c r="C28" s="18" t="s">
        <v>172</v>
      </c>
    </row>
    <row r="29" customFormat="false" ht="15" hidden="false" customHeight="false" outlineLevel="0" collapsed="false">
      <c r="B29" s="59" t="s">
        <v>173</v>
      </c>
      <c r="C29" s="18" t="s">
        <v>174</v>
      </c>
    </row>
    <row r="30" customFormat="false" ht="15" hidden="false" customHeight="false" outlineLevel="0" collapsed="false">
      <c r="B30" s="59" t="s">
        <v>175</v>
      </c>
      <c r="C30" s="18" t="s">
        <v>176</v>
      </c>
    </row>
    <row r="31" customFormat="false" ht="15" hidden="false" customHeight="false" outlineLevel="0" collapsed="false">
      <c r="B31" s="59" t="s">
        <v>177</v>
      </c>
      <c r="C31" s="18" t="s">
        <v>178</v>
      </c>
    </row>
    <row r="32" customFormat="false" ht="15" hidden="false" customHeight="false" outlineLevel="0" collapsed="false">
      <c r="B32" s="59" t="s">
        <v>179</v>
      </c>
      <c r="C32" s="18" t="s">
        <v>180</v>
      </c>
    </row>
    <row r="33" customFormat="false" ht="15" hidden="false" customHeight="false" outlineLevel="0" collapsed="false">
      <c r="B33" s="59" t="s">
        <v>181</v>
      </c>
      <c r="C33" s="18" t="s">
        <v>182</v>
      </c>
    </row>
    <row r="34" customFormat="false" ht="15" hidden="false" customHeight="false" outlineLevel="0" collapsed="false">
      <c r="B34" s="59" t="s">
        <v>183</v>
      </c>
      <c r="C34" s="18" t="s">
        <v>184</v>
      </c>
    </row>
  </sheetData>
  <mergeCells count="8">
    <mergeCell ref="B16:D16"/>
    <mergeCell ref="B17:D17"/>
    <mergeCell ref="B18:D18"/>
    <mergeCell ref="B19:D19"/>
    <mergeCell ref="C22:D22"/>
    <mergeCell ref="C23:D23"/>
    <mergeCell ref="C24:D24"/>
    <mergeCell ref="C25:D25"/>
  </mergeCells>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4A3B8"/>
    <pageSetUpPr fitToPage="tru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4" min="3" style="0" width="16"/>
    <col collapsed="false" customWidth="true" hidden="false" outlineLevel="0" max="5" min="5" style="0" width="12"/>
    <col collapsed="false" customWidth="true" hidden="false" outlineLevel="0" max="6" min="6" style="0" width="3"/>
  </cols>
  <sheetData>
    <row r="1" customFormat="false" ht="7.5" hidden="false" customHeight="true" outlineLevel="0" collapsed="false">
      <c r="A1" s="1"/>
      <c r="B1" s="1"/>
      <c r="C1" s="1"/>
      <c r="D1" s="1"/>
      <c r="E1" s="1"/>
      <c r="F1" s="1"/>
    </row>
    <row r="2" customFormat="false" ht="30" hidden="false" customHeight="true" outlineLevel="0" collapsed="false">
      <c r="A2" s="1"/>
      <c r="B2" s="2" t="s">
        <v>53</v>
      </c>
      <c r="C2" s="1"/>
      <c r="D2" s="1"/>
      <c r="E2" s="1"/>
      <c r="F2" s="1"/>
    </row>
    <row r="3" customFormat="false" ht="19.5" hidden="false" customHeight="true" outlineLevel="0" collapsed="false">
      <c r="A3" s="1"/>
      <c r="B3" s="3" t="s">
        <v>185</v>
      </c>
      <c r="C3" s="1"/>
      <c r="D3" s="1"/>
      <c r="E3" s="1"/>
      <c r="F3" s="1"/>
    </row>
    <row r="4" customFormat="false" ht="7.5" hidden="false" customHeight="true" outlineLevel="0" collapsed="false">
      <c r="A4" s="1"/>
      <c r="B4" s="1"/>
      <c r="C4" s="1"/>
      <c r="D4" s="1"/>
      <c r="E4" s="1"/>
      <c r="F4" s="1"/>
    </row>
    <row r="5" customFormat="false" ht="3" hidden="false" customHeight="true" outlineLevel="0" collapsed="false">
      <c r="A5" s="4"/>
      <c r="B5" s="4"/>
      <c r="C5" s="4"/>
      <c r="D5" s="4"/>
      <c r="E5" s="4"/>
      <c r="F5" s="4"/>
    </row>
    <row r="7" customFormat="false" ht="19.5" hidden="false" customHeight="true" outlineLevel="0" collapsed="false">
      <c r="B7" s="24" t="s">
        <v>186</v>
      </c>
      <c r="C7" s="25" t="s">
        <v>187</v>
      </c>
      <c r="D7" s="25" t="s">
        <v>188</v>
      </c>
      <c r="E7" s="25" t="s">
        <v>99</v>
      </c>
    </row>
    <row r="8" customFormat="false" ht="15" hidden="false" customHeight="false" outlineLevel="0" collapsed="false">
      <c r="B8" s="60" t="s">
        <v>189</v>
      </c>
      <c r="C8" s="61" t="n">
        <f aca="false">'Worked Examples'!C11</f>
        <v>90000</v>
      </c>
      <c r="D8" s="62" t="n">
        <v>90000</v>
      </c>
      <c r="E8" s="63" t="str">
        <f aca="false">IF(ISNUMBER(C8),IF(ROUND(C8,2)=ROUND(D8,2),"PASS","FAIL"),"FAIL")</f>
        <v>PASS</v>
      </c>
    </row>
    <row r="9" customFormat="false" ht="15" hidden="false" customHeight="false" outlineLevel="0" collapsed="false">
      <c r="B9" s="60" t="s">
        <v>190</v>
      </c>
      <c r="C9" s="64" t="n">
        <f aca="false">'Worked Examples'!C12</f>
        <v>0.36</v>
      </c>
      <c r="D9" s="65" t="n">
        <v>0.36</v>
      </c>
      <c r="E9" s="63" t="str">
        <f aca="false">IF(ISNUMBER(C9),IF(ROUND(C9,4)=ROUND(D9,4),"PASS","FAIL"),"FAIL")</f>
        <v>PASS</v>
      </c>
    </row>
    <row r="10" customFormat="false" ht="15" hidden="false" customHeight="false" outlineLevel="0" collapsed="false">
      <c r="B10" s="60" t="s">
        <v>191</v>
      </c>
      <c r="C10" s="64" t="n">
        <f aca="false">'Worked Examples'!C13</f>
        <v>0.64</v>
      </c>
      <c r="D10" s="65" t="n">
        <v>0.64</v>
      </c>
      <c r="E10" s="63" t="str">
        <f aca="false">IF(ISNUMBER(C10),IF(ROUND(C10,4)=ROUND(D10,4),"PASS","FAIL"),"FAIL")</f>
        <v>PASS</v>
      </c>
    </row>
    <row r="11" customFormat="false" ht="15" hidden="false" customHeight="false" outlineLevel="0" collapsed="false">
      <c r="B11" s="60" t="s">
        <v>192</v>
      </c>
      <c r="C11" s="61" t="n">
        <f aca="false">'Worked Examples'!C14</f>
        <v>20000</v>
      </c>
      <c r="D11" s="62" t="n">
        <v>20000</v>
      </c>
      <c r="E11" s="63" t="str">
        <f aca="false">IF(ISNUMBER(C11),IF(ROUND(C11,2)=ROUND(D11,2),"PASS","FAIL"),"FAIL")</f>
        <v>PASS</v>
      </c>
    </row>
    <row r="12" customFormat="false" ht="15" hidden="false" customHeight="false" outlineLevel="0" collapsed="false">
      <c r="B12" s="60" t="s">
        <v>193</v>
      </c>
      <c r="C12" s="64" t="n">
        <f aca="false">'Worked Examples'!C20</f>
        <v>0.5625</v>
      </c>
      <c r="D12" s="65" t="n">
        <v>0.5625</v>
      </c>
      <c r="E12" s="63" t="str">
        <f aca="false">IF(ISNUMBER(C12),IF(ROUND(C12,4)=ROUND(D12,4),"PASS","FAIL"),"FAIL")</f>
        <v>PASS</v>
      </c>
    </row>
    <row r="13" customFormat="false" ht="15" hidden="false" customHeight="false" outlineLevel="0" collapsed="false">
      <c r="B13" s="60" t="s">
        <v>194</v>
      </c>
      <c r="C13" s="66" t="n">
        <f aca="false">'Worked Examples'!C30</f>
        <v>1385</v>
      </c>
      <c r="D13" s="67" t="n">
        <v>1385</v>
      </c>
      <c r="E13" s="63" t="str">
        <f aca="false">IF(ISNUMBER(C13),IF(ROUND(C13,0)=ROUND(D13,0),"PASS","FAIL"),"FAIL")</f>
        <v>PASS</v>
      </c>
    </row>
    <row r="14" customFormat="false" ht="15" hidden="false" customHeight="false" outlineLevel="0" collapsed="false">
      <c r="B14" s="60" t="s">
        <v>195</v>
      </c>
      <c r="C14" s="64" t="n">
        <f aca="false">'Worked Examples'!C31</f>
        <v>0.385</v>
      </c>
      <c r="D14" s="65" t="n">
        <v>0.385</v>
      </c>
      <c r="E14" s="63" t="str">
        <f aca="false">IF(ISNUMBER(C14),IF(ROUND(C14,4)=ROUND(D14,4),"PASS","FAIL"),"FAIL")</f>
        <v>PASS</v>
      </c>
    </row>
    <row r="15" customFormat="false" ht="15" hidden="false" customHeight="false" outlineLevel="0" collapsed="false">
      <c r="B15" s="60" t="s">
        <v>196</v>
      </c>
      <c r="C15" s="61" t="n">
        <f aca="false">'Worked Examples'!C29</f>
        <v>65</v>
      </c>
      <c r="D15" s="62" t="n">
        <v>65</v>
      </c>
      <c r="E15" s="63" t="str">
        <f aca="false">IF(ISNUMBER(C15),IF(ROUND(C15,2)=ROUND(D15,2),"PASS","FAIL"),"FAIL")</f>
        <v>PASS</v>
      </c>
    </row>
    <row r="16" customFormat="false" ht="15" hidden="false" customHeight="false" outlineLevel="0" collapsed="false">
      <c r="B16" s="60" t="s">
        <v>197</v>
      </c>
      <c r="C16" s="66" t="n">
        <f aca="false">D_Needed</f>
        <v>1385</v>
      </c>
      <c r="D16" s="67" t="n">
        <v>1385</v>
      </c>
      <c r="E16" s="63" t="str">
        <f aca="false">IF(ISNUMBER(C16),IF(ROUND(C16,0)=ROUND(D16,0),"PASS","FAIL"),"FAIL")</f>
        <v>PASS</v>
      </c>
    </row>
    <row r="17" customFormat="false" ht="15.75" hidden="false" customHeight="true" outlineLevel="0" collapsed="false">
      <c r="B17" s="60" t="s">
        <v>198</v>
      </c>
      <c r="C17" s="68"/>
      <c r="D17" s="68"/>
      <c r="E17" s="63" t="str">
        <f aca="false">IF(ISNUMBER(Gross_Profit),IF(ABS(Gross_Profit+N(COGS)-Revenue)&lt;0.000001*MAX(1,ABS(Revenue)),"PASS","FAIL"),"N/A")</f>
        <v>PASS</v>
      </c>
    </row>
    <row r="18" customFormat="false" ht="15.75" hidden="false" customHeight="true" outlineLevel="0" collapsed="false">
      <c r="B18" s="60" t="s">
        <v>199</v>
      </c>
      <c r="C18" s="68"/>
      <c r="D18" s="68"/>
      <c r="E18" s="63" t="str">
        <f aca="false">IF(ISNUMBER(GM_Result),IF(ABS(GM_Result+Cost_Pct-1)&lt;0.000000001,"PASS","FAIL"),"N/A")</f>
        <v>PASS</v>
      </c>
    </row>
    <row r="19" customFormat="false" ht="15.75" hidden="false" customHeight="true" outlineLevel="0" collapsed="false">
      <c r="B19" s="60" t="s">
        <v>200</v>
      </c>
      <c r="C19" s="68"/>
      <c r="D19" s="68"/>
      <c r="E19" s="63" t="str">
        <f aca="false">IF(ISNUMBER(Markup_Equiv),IF(ABS(Markup_Equiv-GM_Result/(1-GM_Result))&lt;0.000000001,"PASS","FAIL"),"N/A")</f>
        <v>PASS</v>
      </c>
    </row>
    <row r="20" customFormat="false" ht="27.75" hidden="false" customHeight="true" outlineLevel="0" collapsed="false">
      <c r="B20" s="60" t="s">
        <v>201</v>
      </c>
      <c r="C20" s="68"/>
      <c r="D20" s="68"/>
      <c r="E20" s="63" t="str">
        <f aca="false">IF(ISNUMBER(Gross_Profit),IF(ABS('Gross Margin Calculator'!D25-Gross_Profit)&lt;0.000001*MAX(1,ABS(Gross_Profit)),"PASS","FAIL"),"N/A")</f>
        <v>PASS</v>
      </c>
    </row>
    <row r="21" customFormat="false" ht="15.75" hidden="false" customHeight="true" outlineLevel="0" collapsed="false">
      <c r="B21" s="60" t="s">
        <v>202</v>
      </c>
      <c r="C21" s="68"/>
      <c r="D21" s="68"/>
      <c r="E21" s="63" t="str">
        <f aca="false">IF(COUNT('Product Mix'!F8:F27)&gt;0,IF(ABS('Product Mix'!H28-('Product Mix'!F28-'Product Mix'!G28))&lt;0.000001*MAX(1,ABS('Product Mix'!F28)),"PASS","FAIL"),"N/A")</f>
        <v>PASS</v>
      </c>
    </row>
    <row r="22" customFormat="false" ht="15.75" hidden="false" customHeight="true" outlineLevel="0" collapsed="false">
      <c r="B22" s="60" t="s">
        <v>203</v>
      </c>
      <c r="C22" s="68"/>
      <c r="D22" s="68"/>
      <c r="E22" s="63" t="str">
        <f aca="false">IF(COUNT('Product Mix'!J8:J27)&gt;0,IF(ABS(SUM('Product Mix'!J8:J27)-1)&lt;0.000000001,"PASS","FAIL"),"N/A")</f>
        <v>PASS</v>
      </c>
    </row>
    <row r="24" customFormat="false" ht="15" hidden="false" customHeight="false" outlineLevel="0" collapsed="false">
      <c r="B24" s="69" t="s">
        <v>204</v>
      </c>
      <c r="E24" s="70" t="str">
        <f aca="false">IF(AND(COUNTIF(E8:E22,"FAIL")=0,SUMPRODUCT(--ISERROR(C8:E22))=0),"ALL PASS","REVIEW")</f>
        <v>ALL PASS</v>
      </c>
    </row>
    <row r="26" customFormat="false" ht="43.5" hidden="false" customHeight="true" outlineLevel="0" collapsed="false">
      <c r="B26" s="20" t="s">
        <v>205</v>
      </c>
      <c r="C26" s="20"/>
      <c r="D26" s="20"/>
      <c r="E26" s="20"/>
    </row>
  </sheetData>
  <mergeCells count="1">
    <mergeCell ref="B26:E26"/>
  </mergeCells>
  <conditionalFormatting sqref="E8">
    <cfRule type="expression" priority="2" aboveAverage="0" equalAverage="0" bottom="0" percent="0" rank="0" text="" dxfId="6">
      <formula>E8="FAIL"</formula>
    </cfRule>
  </conditionalFormatting>
  <conditionalFormatting sqref="E9">
    <cfRule type="expression" priority="3" aboveAverage="0" equalAverage="0" bottom="0" percent="0" rank="0" text="" dxfId="6">
      <formula>E9="FAIL"</formula>
    </cfRule>
  </conditionalFormatting>
  <conditionalFormatting sqref="E10">
    <cfRule type="expression" priority="4" aboveAverage="0" equalAverage="0" bottom="0" percent="0" rank="0" text="" dxfId="6">
      <formula>E10="FAIL"</formula>
    </cfRule>
  </conditionalFormatting>
  <conditionalFormatting sqref="E11">
    <cfRule type="expression" priority="5" aboveAverage="0" equalAverage="0" bottom="0" percent="0" rank="0" text="" dxfId="6">
      <formula>E11="FAIL"</formula>
    </cfRule>
  </conditionalFormatting>
  <conditionalFormatting sqref="E12">
    <cfRule type="expression" priority="6" aboveAverage="0" equalAverage="0" bottom="0" percent="0" rank="0" text="" dxfId="6">
      <formula>E12="FAIL"</formula>
    </cfRule>
  </conditionalFormatting>
  <conditionalFormatting sqref="E13">
    <cfRule type="expression" priority="7" aboveAverage="0" equalAverage="0" bottom="0" percent="0" rank="0" text="" dxfId="6">
      <formula>E13="FAIL"</formula>
    </cfRule>
  </conditionalFormatting>
  <conditionalFormatting sqref="E14">
    <cfRule type="expression" priority="8" aboveAverage="0" equalAverage="0" bottom="0" percent="0" rank="0" text="" dxfId="6">
      <formula>E14="FAIL"</formula>
    </cfRule>
  </conditionalFormatting>
  <conditionalFormatting sqref="E15">
    <cfRule type="expression" priority="9" aboveAverage="0" equalAverage="0" bottom="0" percent="0" rank="0" text="" dxfId="6">
      <formula>E15="FAIL"</formula>
    </cfRule>
  </conditionalFormatting>
  <conditionalFormatting sqref="E16">
    <cfRule type="expression" priority="10" aboveAverage="0" equalAverage="0" bottom="0" percent="0" rank="0" text="" dxfId="6">
      <formula>E16="FAIL"</formula>
    </cfRule>
  </conditionalFormatting>
  <conditionalFormatting sqref="E17">
    <cfRule type="expression" priority="11" aboveAverage="0" equalAverage="0" bottom="0" percent="0" rank="0" text="" dxfId="6">
      <formula>E17="FAIL"</formula>
    </cfRule>
  </conditionalFormatting>
  <conditionalFormatting sqref="E18">
    <cfRule type="expression" priority="12" aboveAverage="0" equalAverage="0" bottom="0" percent="0" rank="0" text="" dxfId="6">
      <formula>E18="FAIL"</formula>
    </cfRule>
  </conditionalFormatting>
  <conditionalFormatting sqref="E19">
    <cfRule type="expression" priority="13" aboveAverage="0" equalAverage="0" bottom="0" percent="0" rank="0" text="" dxfId="6">
      <formula>E19="FAIL"</formula>
    </cfRule>
  </conditionalFormatting>
  <conditionalFormatting sqref="E20">
    <cfRule type="expression" priority="14" aboveAverage="0" equalAverage="0" bottom="0" percent="0" rank="0" text="" dxfId="6">
      <formula>E20="FAIL"</formula>
    </cfRule>
  </conditionalFormatting>
  <conditionalFormatting sqref="E21">
    <cfRule type="expression" priority="15" aboveAverage="0" equalAverage="0" bottom="0" percent="0" rank="0" text="" dxfId="6">
      <formula>E21="FAIL"</formula>
    </cfRule>
  </conditionalFormatting>
  <conditionalFormatting sqref="E22">
    <cfRule type="expression" priority="16" aboveAverage="0" equalAverage="0" bottom="0" percent="0" rank="0" text="" dxfId="6">
      <formula>E22="FAIL"</formula>
    </cfRule>
  </conditionalFormatting>
  <conditionalFormatting sqref="E24">
    <cfRule type="expression" priority="17" aboveAverage="0" equalAverage="0" bottom="0" percent="0" rank="0" text="" dxfId="7">
      <formula>E24="REVIEW"</formula>
    </cfRule>
  </conditionalFormatting>
  <printOptions headings="false" gridLines="false" gridLinesSet="true" horizontalCentered="true" verticalCentered="false"/>
  <pageMargins left="0.5" right="0.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2026-09-30T05:11:51Z</dcterms:created>
  <dc:creator>BabaDigit</dc:creator>
  <dc:description/>
  <cp:keywords>gross margin calculator gross profit markup COGS product mix discount Excel</cp:keywords>
  <dc:language>en-US</dc:language>
  <cp:lastModifiedBy/>
  <dcterms:modified xsi:type="dcterms:W3CDTF">2026-09-30T09:24:09Z</dcterms:modified>
  <cp:revision>1</cp:revision>
  <dc:subject>Gross margin calculator</dc:subject>
  <dc:title>BabaDigit Gross Margin Calculator</dc:title>
</cp:coreProperties>
</file>

<file path=docProps/custom.xml><?xml version="1.0" encoding="utf-8"?>
<Properties xmlns="http://schemas.openxmlformats.org/officeDocument/2006/custom-properties" xmlns:vt="http://schemas.openxmlformats.org/officeDocument/2006/docPropsVTypes"/>
</file>