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IRR Calculator" sheetId="2" state="visible" r:id="rId4"/>
    <sheet name="IRR Solver" sheetId="3" state="visible" r:id="rId5"/>
    <sheet name="NPV Profile" sheetId="4" state="visible" r:id="rId6"/>
    <sheet name="Compare Projects" sheetId="5" state="visible" r:id="rId7"/>
    <sheet name="Worked Examples" sheetId="6" state="visible" r:id="rId8"/>
    <sheet name="Formula Guide" sheetId="7" state="visible" r:id="rId9"/>
    <sheet name="Checks" sheetId="8" state="visible" r:id="rId10"/>
  </sheets>
  <definedNames>
    <definedName function="false" hidden="false" name="Cash_Flows" vbProcedure="false">'IRR Calculator'!$C$15:$C$44</definedName>
    <definedName function="false" hidden="false" name="Checks_Status" vbProcedure="false">Checks!$E$26</definedName>
    <definedName function="false" hidden="false" name="Hurdle_Rate" vbProcedure="false">'IRR Calculator'!$D$10</definedName>
    <definedName function="false" hidden="false" name="Initial_Investment" vbProcedure="false">'IRR Calculator'!$D$8</definedName>
    <definedName function="false" hidden="false" name="IRR_Result" vbProcedure="false">'IRR Calculator'!$H$11</definedName>
    <definedName function="false" hidden="false" name="IRR_Series" vbProcedure="false">'IRR Solver'!$J$16:$J$46</definedName>
    <definedName function="false" hidden="false" name="Margin_Pts" vbProcedure="false">'IRR Calculator'!$I$14</definedName>
    <definedName function="false" hidden="false" name="NPV_At_Hurdle" vbProcedure="false">'IRR Calculator'!$I$15</definedName>
    <definedName function="false" hidden="false" name="Profile_NPV" vbProcedure="false">'NPV Profile'!$D$12:$D$24</definedName>
    <definedName function="false" hidden="false" name="Sign_Changes" vbProcedure="false">'IRR Calculator'!$F$45</definedName>
    <definedName function="false" hidden="false" name="Total_Returned" vbProcedure="false">'IRR Calculator'!$I$16</definedName>
    <definedName function="false" hidden="false" name="Years" vbProcedure="false">'IRR Calculator'!$B$15:$B$44</definedName>
  </definedNames>
  <calcPr fullCalcOnLoad="1"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8" authorId="0">
      <text>
        <r>
          <rPr>
            <sz val="10"/>
            <rFont val="Arial"/>
            <family val="2"/>
          </rPr>
          <t xml:space="preserve">Example from the online calculator — replace with your own.</t>
        </r>
      </text>
    </comment>
  </commentList>
</comments>
</file>

<file path=xl/sharedStrings.xml><?xml version="1.0" encoding="utf-8"?>
<sst xmlns="http://schemas.openxmlformats.org/spreadsheetml/2006/main" count="274" uniqueCount="236">
  <si>
    <t xml:space="preserve">IRR Calculator — Excel Workbook</t>
  </si>
  <si>
    <t xml:space="preserve">BabaDigit free resource · babadigit.com/irr-calculator</t>
  </si>
  <si>
    <t xml:space="preserve">What this workbook does</t>
  </si>
  <si>
    <t xml:space="preserve">The internal rate of return (IRR) is the yearly rate a project effectively earns on the money tied up in it — the discount rate at which its net present value is exactly zero. This workbook finds the IRR, compares it with your hurdle rate, shows the NPV at that hurdle and warns when the answer may not be unique — using the same method as the free IRR Calculator on babadigit.com.</t>
  </si>
  <si>
    <t xml:space="preserve">How to use it</t>
  </si>
  <si>
    <t xml:space="preserve">1. Open 'IRR Calculator'</t>
  </si>
  <si>
    <t xml:space="preserve">Enter the initial investment and your hurdle rate in the yellow cells at the top.</t>
  </si>
  <si>
    <t xml:space="preserve">2. Enter the yearly cash flows</t>
  </si>
  <si>
    <t xml:space="preserve">Year 1 first, up to 30 years. Use negative numbers for years that cost money.</t>
  </si>
  <si>
    <t xml:space="preserve">3. Read the result</t>
  </si>
  <si>
    <t xml:space="preserve">The navy panel shows the IRR, the margin over your hurdle, the NPV at the hurdle and the cash returned.</t>
  </si>
  <si>
    <t xml:space="preserve">4. See how it is found</t>
  </si>
  <si>
    <t xml:space="preserve">'IRR Solver' shows every step of the search. 'NPV Profile' charts NPV against the discount rate — IRR is where the line crosses zero.</t>
  </si>
  <si>
    <t xml:space="preserve">5. Compare projects</t>
  </si>
  <si>
    <t xml:space="preserve">'Compare Projects' ranks up to four projects by IRR and by NPV, and shows when the two disagree.</t>
  </si>
  <si>
    <t xml:space="preserve">Inputs explained</t>
  </si>
  <si>
    <t xml:space="preserve">Initial investment</t>
  </si>
  <si>
    <t xml:space="preserve">What you pay out at the start (year 0). Enter it as a positive number — it is treated as an outflow for you.</t>
  </si>
  <si>
    <t xml:space="preserve">Hurdle rate</t>
  </si>
  <si>
    <t xml:space="preserve">The minimum yearly return you need — usually your cost of capital or borrowing rate. Type 10% (or 0.10).</t>
  </si>
  <si>
    <t xml:space="preserve">Yearly cash flows</t>
  </si>
  <si>
    <t xml:space="preserve">Net cash for each year, arriving at the end of the year. Add any resale value to the last year.</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</si>
  <si>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</si>
  <si>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</si>
  <si>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</si>
  <si>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</si>
  <si>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</si>
  <si>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</si>
  <si>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</si>
  <si>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</si>
  <si>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</si>
  <si>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interpret IRR</t>
  </si>
  <si>
    <t xml:space="preserve">IRR above the hurdle</t>
  </si>
  <si>
    <t xml:space="preserve">The project earns more than your minimum. NPV at the hurdle is positive — the two always agree on accept or reject.</t>
  </si>
  <si>
    <t xml:space="preserve">IRR below the hurdle</t>
  </si>
  <si>
    <t xml:space="preserve">The project earns less than your minimum. NPV at the hurdle is negative.</t>
  </si>
  <si>
    <t xml:space="preserve">More than one direction change</t>
  </si>
  <si>
    <t xml:space="preserve">If cash flows switch between outflow and inflow more than once, several IRRs — or none — can exist. Rely on NPV.</t>
  </si>
  <si>
    <t xml:space="preserve">Ranking projects</t>
  </si>
  <si>
    <t xml:space="preserve">IRR ignores size. When IRR and NPV rank two projects differently, follow NPV.</t>
  </si>
  <si>
    <t xml:space="preserve">Limitations and assumptions</t>
  </si>
  <si>
    <t xml:space="preserve">•  Cash flows are assumed to arrive at the end of each year; the investment at the very start (year 0).</t>
  </si>
  <si>
    <t xml:space="preserve">•  IRR assumes cash received is reinvested at the IRR itself — optimistic when the IRR is high.</t>
  </si>
  <si>
    <t xml:space="preserve">•  The search looks between −99.9999% and 1,000% a year, exactly like the online calculator.</t>
  </si>
  <si>
    <t xml:space="preserve">•  A blank year inside the timeline counts as zero. The timeline ends at the last year you fill in.</t>
  </si>
  <si>
    <t xml:space="preserve">•  Enter all amounts in one currency. Results are for general information, not financial advice.</t>
  </si>
  <si>
    <t xml:space="preserve">Workbook contents</t>
  </si>
  <si>
    <t xml:space="preserve">IRR Calculator</t>
  </si>
  <si>
    <t xml:space="preserve">Your calculation: inputs, results, interpretation and input checks.</t>
  </si>
  <si>
    <t xml:space="preserve">IRR Solver</t>
  </si>
  <si>
    <t xml:space="preserve">Every step of the bisection search that finds the IRR.</t>
  </si>
  <si>
    <t xml:space="preserve">NPV Profile</t>
  </si>
  <si>
    <t xml:space="preserve">NPV at thirteen discount rates, with a chart.</t>
  </si>
  <si>
    <t xml:space="preserve">Compare Projects</t>
  </si>
  <si>
    <t xml:space="preserve">Up to four projects ranked by IRR and by NPV.</t>
  </si>
  <si>
    <t xml:space="preserve">Worked Examples</t>
  </si>
  <si>
    <t xml:space="preserve">Four worked examples, including cash flows with two IRRs.</t>
  </si>
  <si>
    <t xml:space="preserve">Formula Guide</t>
  </si>
  <si>
    <t xml:space="preserve">The maths and the exact formula behind every result.</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</si>
  <si>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</si>
  <si>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</si>
  <si>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babadigit.com/irr-calculator. Results are for general information only and are not financial advice.</t>
  </si>
  <si>
    <t xml:space="preserve">Enter your figures in the yellow cells. Results update automatically.</t>
  </si>
  <si>
    <t xml:space="preserve">1  Investment and hurdle rate</t>
  </si>
  <si>
    <t xml:space="preserve">Initial investment (year 0)</t>
  </si>
  <si>
    <t xml:space="preserve">RESULTS</t>
  </si>
  <si>
    <t xml:space="preserve">Enter as a positive number. Paid today (year 0).</t>
  </si>
  <si>
    <t xml:space="preserve">Hurdle rate (per year)</t>
  </si>
  <si>
    <t xml:space="preserve">Internal rate of return (IRR)</t>
  </si>
  <si>
    <t xml:space="preserve">The minimum return you need — often your cost of capital. Type 10% or 0.10.</t>
  </si>
  <si>
    <t xml:space="preserve">2  Yearly cash flows (received at the end of each year)</t>
  </si>
  <si>
    <t xml:space="preserve">Year</t>
  </si>
  <si>
    <t xml:space="preserve">Cash flow</t>
  </si>
  <si>
    <t xml:space="preserve">PV at hurdle</t>
  </si>
  <si>
    <t xml:space="preserve">PV at IRR</t>
  </si>
  <si>
    <t xml:space="preserve">Direction change</t>
  </si>
  <si>
    <t xml:space="preserve">Margin over hurdle</t>
  </si>
  <si>
    <t xml:space="preserve">NPV at hurdle rate</t>
  </si>
  <si>
    <t xml:space="preserve">Total cash returned</t>
  </si>
  <si>
    <t xml:space="preserve">Direction changes</t>
  </si>
  <si>
    <t xml:space="preserve">Reading this result</t>
  </si>
  <si>
    <t xml:space="preserve">Input checks</t>
  </si>
  <si>
    <t xml:space="preserve">IRR = the rate r at which Σ cash flow ÷ (1 + r)^year − investment = 0. Found by bisection — see 'IRR Solver'.</t>
  </si>
  <si>
    <t xml:space="preserve">Results are for general information only and are not financial advice.</t>
  </si>
  <si>
    <t xml:space="preserve">Total</t>
  </si>
  <si>
    <t xml:space="preserve">PV at IRR adds back to the initial investment — that is what 'NPV = 0 at the IRR' means. Direction change = 1 where the cash flow switches between outflow and inflow.</t>
  </si>
  <si>
    <t xml:space="preserve">How the IRR is found: halve the search range 60 times, keeping the half where NPV changes sign.</t>
  </si>
  <si>
    <t xml:space="preserve">Search range (same as the online calculator)</t>
  </si>
  <si>
    <t xml:space="preserve">Low</t>
  </si>
  <si>
    <t xml:space="preserve">High</t>
  </si>
  <si>
    <t xml:space="preserve">NPV at low</t>
  </si>
  <si>
    <t xml:space="preserve">NPV at high</t>
  </si>
  <si>
    <t xml:space="preserve">Bracket found?</t>
  </si>
  <si>
    <t xml:space="preserve">TRUE when NPV has opposite signs (or zero) at the two ends — an IRR lies between them.</t>
  </si>
  <si>
    <t xml:space="preserve">Step</t>
  </si>
  <si>
    <t xml:space="preserve">Mid-point</t>
  </si>
  <si>
    <t xml:space="preserve">NPV at mid-point</t>
  </si>
  <si>
    <t xml:space="preserve">Series</t>
  </si>
  <si>
    <t xml:space="preserve">Series for Excel's own IRR() — used only by 'Checks' to cross-check the result.</t>
  </si>
  <si>
    <t xml:space="preserve">IRR</t>
  </si>
  <si>
    <t xml:space="preserve">Mid-point of the final range. After 60 halvings the range is narrower than Excel can measure.</t>
  </si>
  <si>
    <t xml:space="preserve">NPV at a range of discount rates. The IRR is where the line crosses zero.</t>
  </si>
  <si>
    <t xml:space="preserve">Settings</t>
  </si>
  <si>
    <t xml:space="preserve">First rate</t>
  </si>
  <si>
    <t xml:space="preserve">Step between rates</t>
  </si>
  <si>
    <t xml:space="preserve">Discount rate</t>
  </si>
  <si>
    <t xml:space="preserve">NPV</t>
  </si>
  <si>
    <t xml:space="preserve">Hurdle rate and IRR from 'IRR Calculator':</t>
  </si>
  <si>
    <t xml:space="preserve">NPV at hurdle</t>
  </si>
  <si>
    <t xml:space="preserve">Up to four projects. IRR and NPV can rank them differently — this sheet shows when.</t>
  </si>
  <si>
    <t xml:space="preserve">Project 1</t>
  </si>
  <si>
    <t xml:space="preserve">Project 2</t>
  </si>
  <si>
    <t xml:space="preserve">Project 3</t>
  </si>
  <si>
    <t xml:space="preserve">Project 4</t>
  </si>
  <si>
    <t xml:space="preserve">Project name</t>
  </si>
  <si>
    <t xml:space="preserve">Expansion (large)</t>
  </si>
  <si>
    <t xml:space="preserve">Quick upgrade (small)</t>
  </si>
  <si>
    <t xml:space="preserve">Yearly cash flows (end of year)</t>
  </si>
  <si>
    <t xml:space="preserve">Results</t>
  </si>
  <si>
    <t xml:space="preserve">NPV at its hurdle rate</t>
  </si>
  <si>
    <t xml:space="preserve">Rank by IRR</t>
  </si>
  <si>
    <t xml:space="preserve">Rank by NPV</t>
  </si>
  <si>
    <t xml:space="preserve">Here the small project wins on IRR, the large one on NPV. When the rankings disagree, follow NPV: it measures value created in money. IRR in this sheet uses Excel's IRR() on the series below; with more than one direction change treat it with caution. The example projects are fictional.</t>
  </si>
  <si>
    <t xml:space="preserve">Cash-flow series used (year 0 = −investment; blank years = 0)</t>
  </si>
  <si>
    <t xml:space="preserve">Fictional scenarios for illustration — the same examples as babadigit.com/irr-calculator.</t>
  </si>
  <si>
    <t xml:space="preserve">Example 1 — Equipment purchase (clear accept)</t>
  </si>
  <si>
    <t xml:space="preserve">A 50,000 machine returns 15,000 a year for five years; the company requires 10%. The IRR is found by trying rates until NPV reaches zero.</t>
  </si>
  <si>
    <t xml:space="preserve">The initial investment, entered as a negative number at year 0</t>
  </si>
  <si>
    <t xml:space="preserve">Trying 10%: NPV</t>
  </si>
  <si>
    <t xml:space="preserve">Positive — the true rate is above 10%</t>
  </si>
  <si>
    <t xml:space="preserve">Trying 20%: NPV</t>
  </si>
  <si>
    <t xml:space="preserve">Negative — the true rate is below 20%</t>
  </si>
  <si>
    <t xml:space="preserve">Trying 15%: NPV</t>
  </si>
  <si>
    <t xml:space="preserve">Very close to zero</t>
  </si>
  <si>
    <t xml:space="preserve">IRR — Excel's IRR()</t>
  </si>
  <si>
    <t xml:space="preserve">Converges to 15.24%: clears the 10% requirement</t>
  </si>
  <si>
    <t xml:space="preserve">Example 2 — A project that just misses (marginal reject)</t>
  </si>
  <si>
    <t xml:space="preserve">20,000 invested returns 8,000 a year for three years against a 10% hurdle. An IRR just below the hurdle means an NPV just below zero.</t>
  </si>
  <si>
    <t xml:space="preserve">9.70%</t>
  </si>
  <si>
    <t xml:space="preserve">Shortfall against a 10% hurdle (points)</t>
  </si>
  <si>
    <t xml:space="preserve">0.30 points short</t>
  </si>
  <si>
    <t xml:space="preserve">NPV at 10%</t>
  </si>
  <si>
    <t xml:space="preserve">−105.18 — the same fact seen through NPV</t>
  </si>
  <si>
    <t xml:space="preserve">Example 3 — Uneven cash flows</t>
  </si>
  <si>
    <t xml:space="preserve">100,000 invested returns 30,000, 35,000, 40,000 and 45,000 across four years against a 12% hurdle. IRR handles uneven flows without difficulty.</t>
  </si>
  <si>
    <t xml:space="preserve">Total returned</t>
  </si>
  <si>
    <t xml:space="preserve">150,000 over four years</t>
  </si>
  <si>
    <t xml:space="preserve">17.09% a year</t>
  </si>
  <si>
    <t xml:space="preserve">NPV at 12%</t>
  </si>
  <si>
    <t xml:space="preserve">11,757.02</t>
  </si>
  <si>
    <t xml:space="preserve">Example 4 — Two valid IRRs (why the direction-change warning matters)</t>
  </si>
  <si>
    <t xml:space="preserve">An outlay of 100, then 230 in year 1, then a clean-up cost of 132 in year 2. NPV is zero at both 10% and 20% — two IRRs. Excel's IRR() returns whichever root it meets first from its starting guess; the calculator's search finds no sign change across its range and reports no single IRR.</t>
  </si>
  <si>
    <t xml:space="preserve">Zero</t>
  </si>
  <si>
    <t xml:space="preserve">NPV at 20%</t>
  </si>
  <si>
    <t xml:space="preserve">Also zero</t>
  </si>
  <si>
    <t xml:space="preserve">IRR() with a 5% starting guess</t>
  </si>
  <si>
    <t xml:space="preserve">Finds 10%</t>
  </si>
  <si>
    <t xml:space="preserve">IRR() with a 25% starting guess</t>
  </si>
  <si>
    <t xml:space="preserve">Finds 20% — same cash flows, different answer</t>
  </si>
  <si>
    <t xml:space="preserve">Change any yellow cell to see how each result responds. Examples are fictional and for illustration only.</t>
  </si>
  <si>
    <t xml:space="preserve">The method behind every result — identical to the online BabaDigit IRR Calculator.</t>
  </si>
  <si>
    <t xml:space="preserve">The formulas</t>
  </si>
  <si>
    <t xml:space="preserve">Result</t>
  </si>
  <si>
    <t xml:space="preserve">Mathematical formula</t>
  </si>
  <si>
    <t xml:space="preserve">How this workbook calculates it</t>
  </si>
  <si>
    <t xml:space="preserve">NPV at a rate r</t>
  </si>
  <si>
    <t xml:space="preserve">Σ Cash flow_t ÷ (1 + r)^t − Initial investment</t>
  </si>
  <si>
    <t xml:space="preserve">=SUMPRODUCT(Cash_Flows,(1+r)^(-Years)) − N(Initial_Investment)</t>
  </si>
  <si>
    <t xml:space="preserve">The r at which NPV = 0</t>
  </si>
  <si>
    <t xml:space="preserve">Bisection on 'IRR Solver': start at −99.9999% and 1,000%; halve the range 60 times, keeping the half where NPV changes sign; rounded to 12 decimal places</t>
  </si>
  <si>
    <t xml:space="preserve">No IRR</t>
  </si>
  <si>
    <t xml:space="preserve">NPV has the same sign at both ends of the range</t>
  </si>
  <si>
    <t xml:space="preserve">=AND(valid inputs, SIGN(NPV at low) × SIGN(NPV at high) ≤ 0) → FALSE gives '—'</t>
  </si>
  <si>
    <t xml:space="preserve">(IRR − hurdle) in percentage points</t>
  </si>
  <si>
    <t xml:space="preserve">=IF(ISNUMBER(IRR_Result),(IRR_Result − N(Hurdle_Rate)) × 100,"—")</t>
  </si>
  <si>
    <t xml:space="preserve">Σ Cash flow_t ÷ (1 + hurdle)^t − investment</t>
  </si>
  <si>
    <t xml:space="preserve">=SUM of the PV at hurdle column − N(Initial_Investment)</t>
  </si>
  <si>
    <t xml:space="preserve">Adjacent non-zero flows (year 0 included) with opposite signs</t>
  </si>
  <si>
    <t xml:space="preserve">=SUM of the Direction change column; more than 1 triggers the warning</t>
  </si>
  <si>
    <t xml:space="preserve">Why these rules</t>
  </si>
  <si>
    <t xml:space="preserve">•  Results appear only when the initial investment is above zero and at least one cash flow is entered — exactly like the online calculator.</t>
  </si>
  <si>
    <t xml:space="preserve">•  The online calculator runs the same bisection 300 times; 60 halvings already narrow the range below Excel's precision, so the answers are identical.</t>
  </si>
  <si>
    <t xml:space="preserve">•  Excel's own IRR() uses a different search (Newton's method from a guess). With one direction change both give the same answer — 'Checks' verifies this. With more, they can find different roots.</t>
  </si>
  <si>
    <t xml:space="preserve">•  A hurdle rate of −100% or below has no meaning, so NPV at hurdle shows '—'.</t>
  </si>
  <si>
    <t xml:space="preserve">•  When no IRR is found and the flows change direction more than once, the wording says there may be several IRRs or none — never that the project cannot break even.</t>
  </si>
  <si>
    <t xml:space="preserve">Do it in any spreadsheet</t>
  </si>
  <si>
    <t xml:space="preserve">Outlay (negative) in B1, yearly flows in B2:B6</t>
  </si>
  <si>
    <t xml:space="preserve">=IRR(B1:B6)</t>
  </si>
  <si>
    <t xml:space="preserve">If IRR() returns an error</t>
  </si>
  <si>
    <t xml:space="preserve">=IRR(B1:B6, 0.1)   ← give a starting guess</t>
  </si>
  <si>
    <t xml:space="preserve">Irregular dates</t>
  </si>
  <si>
    <t xml:space="preserve">=XIRR(values, dates)</t>
  </si>
  <si>
    <t xml:space="preserve">Remove the reinvestment assumption</t>
  </si>
  <si>
    <t xml:space="preserve">=MIRR(B1:B6, finance_rate, reinvest_rate)</t>
  </si>
  <si>
    <t xml:space="preserve">Named ranges used</t>
  </si>
  <si>
    <t xml:space="preserve">Initial_Investment</t>
  </si>
  <si>
    <t xml:space="preserve">'IRR Calculator'!D8</t>
  </si>
  <si>
    <t xml:space="preserve">Hurdle_Rate</t>
  </si>
  <si>
    <t xml:space="preserve">'IRR Calculator'!D10</t>
  </si>
  <si>
    <t xml:space="preserve">Cash_Flows</t>
  </si>
  <si>
    <t xml:space="preserve">'IRR Calculator'!C15:C44</t>
  </si>
  <si>
    <t xml:space="preserve">Years</t>
  </si>
  <si>
    <t xml:space="preserve">'IRR Calculator'!B15:B44</t>
  </si>
  <si>
    <t xml:space="preserve">IRR_Result</t>
  </si>
  <si>
    <t xml:space="preserve">'IRR Calculator'!H11</t>
  </si>
  <si>
    <t xml:space="preserve">Margin_Pts</t>
  </si>
  <si>
    <t xml:space="preserve">'IRR Calculator'!I14</t>
  </si>
  <si>
    <t xml:space="preserve">NPV_At_Hurdle</t>
  </si>
  <si>
    <t xml:space="preserve">'IRR Calculator'!I15</t>
  </si>
  <si>
    <t xml:space="preserve">Total_Returned</t>
  </si>
  <si>
    <t xml:space="preserve">'IRR Calculator'!I16</t>
  </si>
  <si>
    <t xml:space="preserve">Sign_Changes</t>
  </si>
  <si>
    <t xml:space="preserve">'IRR Calculator'!F45</t>
  </si>
  <si>
    <t xml:space="preserve">Automatic self-checks. Every row should read PASS (or N/A).</t>
  </si>
  <si>
    <t xml:space="preserve">Check</t>
  </si>
  <si>
    <t xml:space="preserve">Workbook</t>
  </si>
  <si>
    <t xml:space="preserve">Expected</t>
  </si>
  <si>
    <t xml:space="preserve">Example 1 NPV at 10% matches the published 6,861.80</t>
  </si>
  <si>
    <t xml:space="preserve">Example 1 NPV at 20% matches the published −5,140.82</t>
  </si>
  <si>
    <t xml:space="preserve">Example 1 NPV at 15% matches the published 282.33</t>
  </si>
  <si>
    <t xml:space="preserve">Example 1 IRR matches the published 15.24%</t>
  </si>
  <si>
    <t xml:space="preserve">Example 2 IRR matches the published 9.70%</t>
  </si>
  <si>
    <t xml:space="preserve">Example 2 shortfall matches the published 0.30 points</t>
  </si>
  <si>
    <t xml:space="preserve">Example 2 NPV at 10% matches the published −105.18</t>
  </si>
  <si>
    <t xml:space="preserve">Example 3 total returned matches the published 150,000</t>
  </si>
  <si>
    <t xml:space="preserve">Example 3 IRR matches the published 17.09%</t>
  </si>
  <si>
    <t xml:space="preserve">Example 3 NPV at 12% matches the published 11,757.02</t>
  </si>
  <si>
    <t xml:space="preserve">Example 4 IRR from a 5% guess is 10%</t>
  </si>
  <si>
    <t xml:space="preserve">Example 4 IRR from a 25% guess is 20%</t>
  </si>
  <si>
    <t xml:space="preserve">IRR Calculator: NPV at the IRR is zero (present values add back to the investment)</t>
  </si>
  <si>
    <t xml:space="preserve">IRR Calculator agrees with Excel's IRR() (when the flows change direction only once)</t>
  </si>
  <si>
    <t xml:space="preserve">IRR Calculator: IRR above the hurdle exactly when NPV at the hurdle is positive</t>
  </si>
  <si>
    <t xml:space="preserve">NPV Profile: NPV falls as the rate rises (when only the investment is an outflow)</t>
  </si>
  <si>
    <t xml:space="preserve">Compare Projects: the small project wins on IRR, the large one on NPV (example rows)</t>
  </si>
  <si>
    <t xml:space="preserve">Overall status</t>
  </si>
  <si>
    <t xml:space="preserve">'N/A' means a check does not apply to the figures currently entered. Published values are the worked-example results on babadigit.com/irr-calculator.</t>
  </si>
</sst>
</file>

<file path=xl/styles.xml><?xml version="1.0" encoding="utf-8"?>
<styleSheet xmlns="http://schemas.openxmlformats.org/spreadsheetml/2006/main">
  <numFmts count="16">
    <numFmt numFmtId="164" formatCode="General"/>
    <numFmt numFmtId="165" formatCode="#,##0.00;[RED]\-#,##0.00;\-"/>
    <numFmt numFmtId="166" formatCode="0.00%"/>
    <numFmt numFmtId="167" formatCode="0.00%;[RED]\-0.00%;0.00%"/>
    <numFmt numFmtId="168" formatCode="\+0.00&quot; pts&quot;;[RED]\-0.00&quot; pts&quot;;0.00&quot; pts&quot;"/>
    <numFmt numFmtId="169" formatCode="&quot;Year &quot;0"/>
    <numFmt numFmtId="170" formatCode="0"/>
    <numFmt numFmtId="171" formatCode="0.0000%"/>
    <numFmt numFmtId="172" formatCode="0.00E+00"/>
    <numFmt numFmtId="173" formatCode="General"/>
    <numFmt numFmtId="174" formatCode="0.000000000%"/>
    <numFmt numFmtId="175" formatCode="#,##0.000000"/>
    <numFmt numFmtId="176" formatCode="0.0000000000%"/>
    <numFmt numFmtId="177" formatCode="0%"/>
    <numFmt numFmtId="178" formatCode="#,##0"/>
    <numFmt numFmtId="179" formatCode="0.00"/>
  </numFmts>
  <fonts count="38">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b val="true"/>
      <sz val="9"/>
      <color rgb="FF94A3B8"/>
      <name val="Arial"/>
      <family val="0"/>
      <charset val="1"/>
    </font>
    <font>
      <sz val="9"/>
      <color rgb="FF64748B"/>
      <name val="Arial"/>
      <family val="0"/>
      <charset val="1"/>
    </font>
    <font>
      <sz val="10"/>
      <color rgb="FFCBD5E1"/>
      <name val="Arial"/>
      <family val="0"/>
      <charset val="1"/>
    </font>
    <font>
      <b val="true"/>
      <sz val="26"/>
      <color rgb="FF14B8A6"/>
      <name val="Arial"/>
      <family val="0"/>
      <charset val="1"/>
    </font>
    <font>
      <b val="true"/>
      <sz val="9"/>
      <color rgb="FFFFFFFF"/>
      <name val="Arial"/>
      <family val="0"/>
      <charset val="1"/>
    </font>
    <font>
      <b val="true"/>
      <sz val="11"/>
      <color rgb="FFFFFFFF"/>
      <name val="Arial"/>
      <family val="0"/>
      <charset val="1"/>
    </font>
    <font>
      <sz val="10"/>
      <color rgb="FF000000"/>
      <name val="Arial"/>
      <family val="0"/>
      <charset val="1"/>
    </font>
    <font>
      <sz val="9"/>
      <color rgb="FFFCD34D"/>
      <name val="Arial"/>
      <family val="0"/>
      <charset val="1"/>
    </font>
    <font>
      <sz val="9"/>
      <color rgb="FF334155"/>
      <name val="Arial"/>
      <family val="0"/>
      <charset val="1"/>
    </font>
    <font>
      <i val="true"/>
      <sz val="8"/>
      <color rgb="FF64748B"/>
      <name val="Arial"/>
      <family val="0"/>
      <charset val="1"/>
    </font>
    <font>
      <sz val="10"/>
      <name val="Arial"/>
      <family val="2"/>
    </font>
    <font>
      <b val="true"/>
      <sz val="9"/>
      <color rgb="FF0F766E"/>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0F766E"/>
      <name val="Arial"/>
      <family val="0"/>
      <charset val="1"/>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8FAFC"/>
      </patternFill>
    </fill>
    <fill>
      <patternFill patternType="solid">
        <fgColor rgb="FFFFFFFF"/>
        <bgColor rgb="FFF8FAFC"/>
      </patternFill>
    </fill>
    <fill>
      <patternFill patternType="solid">
        <fgColor rgb="FFF8FAFC"/>
        <bgColor rgb="FFFFFFFF"/>
      </patternFill>
    </fill>
  </fills>
  <borders count="6">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style="medium">
        <color rgb="FF0F172A"/>
      </top>
      <bottom style="thin">
        <color rgb="FFE2E8F0"/>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6" fillId="2" borderId="0" xfId="0" applyFont="true" applyBorder="false" applyAlignment="true" applyProtection="false">
      <alignment horizontal="left" vertical="bottom" textRotation="0" wrapText="false" indent="1"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6" fontId="15" fillId="4" borderId="2" xfId="0" applyFont="true" applyBorder="true" applyAlignment="true" applyProtection="false">
      <alignment horizontal="right" vertical="bottom" textRotation="0" wrapText="false" indent="0"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7" fontId="19" fillId="2" borderId="0" xfId="0" applyFont="true" applyBorder="true" applyAlignment="true" applyProtection="false">
      <alignment horizontal="left" vertical="center" textRotation="0" wrapText="false" indent="1" shrinkToFit="false"/>
      <protection locked="true" hidden="false"/>
    </xf>
    <xf numFmtId="164" fontId="20" fillId="2" borderId="0" xfId="0" applyFont="true" applyBorder="false" applyAlignment="true" applyProtection="false">
      <alignment horizontal="left" vertical="center" textRotation="0" wrapText="true" indent="0" shrinkToFit="false"/>
      <protection locked="true" hidden="false"/>
    </xf>
    <xf numFmtId="164" fontId="20" fillId="2" borderId="0" xfId="0" applyFont="true" applyBorder="false" applyAlignment="true" applyProtection="false">
      <alignment horizontal="right" vertical="center" textRotation="0" wrapText="true" indent="0"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8" fontId="21" fillId="2" borderId="3" xfId="0" applyFont="true" applyBorder="true" applyAlignment="true" applyProtection="false">
      <alignment horizontal="right" vertical="bottom" textRotation="0" wrapText="false" indent="1" shrinkToFit="false"/>
      <protection locked="true" hidden="false"/>
    </xf>
    <xf numFmtId="169" fontId="7" fillId="0" borderId="2" xfId="0" applyFont="true" applyBorder="true" applyAlignment="true" applyProtection="false">
      <alignment horizontal="left" vertical="bottom" textRotation="0" wrapText="false" indent="1" shrinkToFit="false"/>
      <protection locked="true" hidden="false"/>
    </xf>
    <xf numFmtId="165" fontId="22" fillId="0" borderId="2" xfId="0" applyFont="true" applyBorder="true" applyAlignment="true" applyProtection="false">
      <alignment horizontal="right" vertical="bottom" textRotation="0" wrapText="false" indent="0" shrinkToFit="false"/>
      <protection locked="true" hidden="false"/>
    </xf>
    <xf numFmtId="170" fontId="17" fillId="0" borderId="2" xfId="0" applyFont="true" applyBorder="true" applyAlignment="true" applyProtection="false">
      <alignment horizontal="right" vertical="bottom" textRotation="0" wrapText="false" indent="0" shrinkToFit="false"/>
      <protection locked="true" hidden="false"/>
    </xf>
    <xf numFmtId="165" fontId="21" fillId="2" borderId="3" xfId="0" applyFont="true" applyBorder="true" applyAlignment="true" applyProtection="false">
      <alignment horizontal="right" vertical="bottom" textRotation="0" wrapText="false" indent="1" shrinkToFit="false"/>
      <protection locked="true" hidden="false"/>
    </xf>
    <xf numFmtId="170" fontId="21" fillId="2" borderId="3" xfId="0" applyFont="true" applyBorder="true" applyAlignment="true" applyProtection="false">
      <alignment horizontal="right" vertical="bottom" textRotation="0" wrapText="false" indent="1" shrinkToFit="false"/>
      <protection locked="true" hidden="false"/>
    </xf>
    <xf numFmtId="164" fontId="23" fillId="2" borderId="0" xfId="0" applyFont="true" applyBorder="true" applyAlignment="true" applyProtection="false">
      <alignment horizontal="general" vertical="top" textRotation="0" wrapText="true" indent="1"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4" fontId="24" fillId="0" borderId="0" xfId="0" applyFont="true" applyBorder="true" applyAlignment="true" applyProtection="false">
      <alignment horizontal="general" vertical="top" textRotation="0" wrapText="true" indent="0" shrinkToFit="false"/>
      <protection locked="true" hidden="false"/>
    </xf>
    <xf numFmtId="164" fontId="25" fillId="0" borderId="0" xfId="0" applyFont="true" applyBorder="true" applyAlignment="true" applyProtection="false">
      <alignment horizontal="general" vertical="top" textRotation="0" wrapText="true" indent="0" shrinkToFit="false"/>
      <protection locked="true" hidden="false"/>
    </xf>
    <xf numFmtId="164" fontId="8" fillId="0" borderId="4" xfId="0" applyFont="true" applyBorder="true" applyAlignment="false" applyProtection="false">
      <alignment horizontal="general" vertical="bottom" textRotation="0" wrapText="false" indent="0" shrinkToFit="false"/>
      <protection locked="true" hidden="false"/>
    </xf>
    <xf numFmtId="165" fontId="10" fillId="0" borderId="4" xfId="0" applyFont="true" applyBorder="true" applyAlignment="true" applyProtection="false">
      <alignment horizontal="right" vertical="bottom" textRotation="0" wrapText="false" indent="0" shrinkToFit="false"/>
      <protection locked="true" hidden="false"/>
    </xf>
    <xf numFmtId="170" fontId="10" fillId="0" borderId="4" xfId="0" applyFont="true" applyBorder="true" applyAlignment="true" applyProtection="false">
      <alignment horizontal="right" vertical="bottom" textRotation="0" wrapText="false" indent="0" shrinkToFit="false"/>
      <protection locked="true" hidden="false"/>
    </xf>
    <xf numFmtId="171" fontId="22" fillId="0" borderId="2" xfId="0" applyFont="true" applyBorder="true" applyAlignment="true" applyProtection="false">
      <alignment horizontal="right" vertical="bottom" textRotation="0" wrapText="false" indent="0" shrinkToFit="false"/>
      <protection locked="true" hidden="false"/>
    </xf>
    <xf numFmtId="166" fontId="22" fillId="0" borderId="2" xfId="0" applyFont="true" applyBorder="true" applyAlignment="true" applyProtection="false">
      <alignment horizontal="right" vertical="bottom" textRotation="0" wrapText="false" indent="0" shrinkToFit="false"/>
      <protection locked="true" hidden="false"/>
    </xf>
    <xf numFmtId="172" fontId="22" fillId="0" borderId="2"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73" fontId="10" fillId="0" borderId="2" xfId="0" applyFont="true" applyBorder="true" applyAlignment="true" applyProtection="false">
      <alignment horizontal="right"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74" fontId="24" fillId="0" borderId="0" xfId="0" applyFont="true" applyBorder="false" applyAlignment="false" applyProtection="false">
      <alignment horizontal="general" vertical="bottom" textRotation="0" wrapText="false" indent="0" shrinkToFit="false"/>
      <protection locked="true" hidden="false"/>
    </xf>
    <xf numFmtId="172" fontId="24" fillId="0" borderId="0" xfId="0" applyFont="true" applyBorder="false" applyAlignment="false" applyProtection="false">
      <alignment horizontal="general" vertical="bottom" textRotation="0" wrapText="false" indent="0" shrinkToFit="false"/>
      <protection locked="true" hidden="false"/>
    </xf>
    <xf numFmtId="174" fontId="17" fillId="0" borderId="0" xfId="0" applyFont="true" applyBorder="false" applyAlignment="false" applyProtection="false">
      <alignment horizontal="general" vertical="bottom" textRotation="0" wrapText="false" indent="0" shrinkToFit="false"/>
      <protection locked="true" hidden="false"/>
    </xf>
    <xf numFmtId="175" fontId="17" fillId="0" borderId="0" xfId="0" applyFont="true" applyBorder="false" applyAlignment="false" applyProtection="false">
      <alignment horizontal="general" vertical="bottom" textRotation="0" wrapText="false" indent="0" shrinkToFit="false"/>
      <protection locked="true" hidden="false"/>
    </xf>
    <xf numFmtId="169" fontId="24" fillId="0" borderId="0" xfId="0" applyFont="true" applyBorder="false" applyAlignment="true" applyProtection="false">
      <alignment horizontal="left" vertical="bottom" textRotation="0" wrapText="false" indent="1" shrinkToFit="false"/>
      <protection locked="true" hidden="false"/>
    </xf>
    <xf numFmtId="165" fontId="17"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76" fontId="10" fillId="0" borderId="2" xfId="0" applyFont="true" applyBorder="true" applyAlignment="true" applyProtection="false">
      <alignment horizontal="right" vertical="bottom" textRotation="0" wrapText="false" indent="0" shrinkToFit="false"/>
      <protection locked="true" hidden="false"/>
    </xf>
    <xf numFmtId="164" fontId="27"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6" fontId="28" fillId="0" borderId="0" xfId="0" applyFont="true" applyBorder="false" applyAlignment="false" applyProtection="false">
      <alignment horizontal="general" vertical="bottom" textRotation="0" wrapText="false" indent="0" shrinkToFit="false"/>
      <protection locked="true" hidden="false"/>
    </xf>
    <xf numFmtId="167" fontId="28" fillId="0" borderId="0" xfId="0" applyFont="true" applyBorder="false" applyAlignment="false" applyProtection="false">
      <alignment horizontal="general" vertical="bottom" textRotation="0" wrapText="false" indent="0" shrinkToFit="false"/>
      <protection locked="true" hidden="false"/>
    </xf>
    <xf numFmtId="165" fontId="28" fillId="0" borderId="0" xfId="0" applyFont="true" applyBorder="false" applyAlignment="false" applyProtection="false">
      <alignment horizontal="general" vertical="bottom" textRotation="0" wrapText="false" indent="0" shrinkToFit="false"/>
      <protection locked="true" hidden="false"/>
    </xf>
    <xf numFmtId="164" fontId="15" fillId="4" borderId="2" xfId="0" applyFont="true" applyBorder="true" applyAlignment="true" applyProtection="false">
      <alignment horizontal="right" vertical="bottom" textRotation="0" wrapText="true" indent="0" shrinkToFit="false"/>
      <protection locked="true" hidden="false"/>
    </xf>
    <xf numFmtId="169" fontId="7" fillId="0" borderId="0" xfId="0" applyFont="true" applyBorder="false" applyAlignment="true" applyProtection="false">
      <alignment horizontal="left" vertical="bottom" textRotation="0" wrapText="false" indent="1" shrinkToFit="false"/>
      <protection locked="true" hidden="false"/>
    </xf>
    <xf numFmtId="167" fontId="8" fillId="0" borderId="2" xfId="0" applyFont="true" applyBorder="true" applyAlignment="true" applyProtection="false">
      <alignment horizontal="right" vertical="bottom" textRotation="0" wrapText="false" indent="0" shrinkToFit="false"/>
      <protection locked="true" hidden="false"/>
    </xf>
    <xf numFmtId="170" fontId="32" fillId="0" borderId="2" xfId="0" applyFont="true" applyBorder="true" applyAlignment="true" applyProtection="false">
      <alignment horizontal="right" vertical="bottom" textRotation="0" wrapText="false" indent="0" shrinkToFit="false"/>
      <protection locked="true" hidden="false"/>
    </xf>
    <xf numFmtId="170" fontId="22" fillId="0" borderId="2" xfId="0" applyFont="true" applyBorder="true" applyAlignment="true" applyProtection="false">
      <alignment horizontal="right" vertical="bottom" textRotation="0" wrapText="false" indent="0" shrinkToFit="false"/>
      <protection locked="true" hidden="false"/>
    </xf>
    <xf numFmtId="164" fontId="20" fillId="2" borderId="0" xfId="0" applyFont="tru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true" applyProtection="false">
      <alignment horizontal="left" vertical="bottom" textRotation="0" wrapText="false" indent="1"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1" shrinkToFit="false"/>
      <protection locked="true" hidden="false"/>
    </xf>
    <xf numFmtId="179" fontId="8" fillId="0" borderId="2" xfId="0" applyFont="true" applyBorder="true" applyAlignment="true" applyProtection="false">
      <alignment horizontal="right" vertical="bottom" textRotation="0" wrapText="false" indent="0" shrinkToFit="false"/>
      <protection locked="true" hidden="false"/>
    </xf>
    <xf numFmtId="175" fontId="8" fillId="0" borderId="2" xfId="0" applyFont="true" applyBorder="true" applyAlignment="true" applyProtection="false">
      <alignment horizontal="right" vertical="bottom" textRotation="0" wrapText="false" indent="0" shrinkToFit="false"/>
      <protection locked="true" hidden="false"/>
    </xf>
    <xf numFmtId="164" fontId="8" fillId="0" borderId="5"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general" vertical="top" textRotation="0" wrapText="true" indent="0" shrinkToFit="false"/>
      <protection locked="true" hidden="false"/>
    </xf>
    <xf numFmtId="164" fontId="33" fillId="0" borderId="5" xfId="0" applyFont="true" applyBorder="true" applyAlignment="true" applyProtection="false">
      <alignment horizontal="general" vertical="top" textRotation="0" wrapText="true" indent="0" shrinkToFit="false"/>
      <protection locked="true" hidden="false"/>
    </xf>
    <xf numFmtId="164" fontId="34" fillId="0" borderId="0" xfId="0" applyFont="true" applyBorder="true" applyAlignment="true" applyProtection="false">
      <alignment horizontal="general" vertical="top" textRotation="0" wrapText="true" indent="0" shrinkToFit="false"/>
      <protection locked="true" hidden="false"/>
    </xf>
    <xf numFmtId="164" fontId="3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5" fontId="22" fillId="0" borderId="2" xfId="0" applyFont="true" applyBorder="true" applyAlignment="true" applyProtection="false">
      <alignment horizontal="right" vertical="center" textRotation="0" wrapText="false" indent="0" shrinkToFit="false"/>
      <protection locked="true" hidden="false"/>
    </xf>
    <xf numFmtId="165" fontId="36" fillId="0" borderId="2" xfId="0" applyFont="true" applyBorder="true" applyAlignment="true" applyProtection="false">
      <alignment horizontal="right" vertical="center" textRotation="0" wrapText="false" indent="0" shrinkToFit="false"/>
      <protection locked="true" hidden="false"/>
    </xf>
    <xf numFmtId="164" fontId="32" fillId="0" borderId="2" xfId="0" applyFont="true" applyBorder="true" applyAlignment="true" applyProtection="false">
      <alignment horizontal="right" vertical="center" textRotation="0" wrapText="false" indent="0" shrinkToFit="false"/>
      <protection locked="true" hidden="false"/>
    </xf>
    <xf numFmtId="167" fontId="22" fillId="0" borderId="2" xfId="0" applyFont="true" applyBorder="true" applyAlignment="true" applyProtection="false">
      <alignment horizontal="right" vertical="center" textRotation="0" wrapText="false" indent="0" shrinkToFit="false"/>
      <protection locked="true" hidden="false"/>
    </xf>
    <xf numFmtId="167" fontId="36" fillId="0" borderId="2" xfId="0" applyFont="true" applyBorder="true" applyAlignment="true" applyProtection="false">
      <alignment horizontal="right" vertical="center" textRotation="0" wrapText="false" indent="0" shrinkToFit="false"/>
      <protection locked="true" hidden="false"/>
    </xf>
    <xf numFmtId="179" fontId="22" fillId="0" borderId="2" xfId="0" applyFont="true" applyBorder="true" applyAlignment="true" applyProtection="false">
      <alignment horizontal="right" vertical="center" textRotation="0" wrapText="false" indent="0" shrinkToFit="false"/>
      <protection locked="true" hidden="false"/>
    </xf>
    <xf numFmtId="179" fontId="36"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37"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name val="Arial"/>
        <charset val="1"/>
        <family val="0"/>
        <b val="1"/>
        <color rgb="FFFCA5A5"/>
        <sz val="26"/>
      </font>
    </dxf>
    <dxf>
      <font>
        <name val="Arial"/>
        <charset val="1"/>
        <family val="0"/>
        <b val="1"/>
        <color rgb="FFFCA5A5"/>
        <sz val="11"/>
      </font>
    </dxf>
    <dxf>
      <font>
        <name val="Arial"/>
        <charset val="1"/>
        <family val="0"/>
        <b val="1"/>
        <color rgb="FFB91C1C"/>
        <sz val="9"/>
      </font>
    </dxf>
    <dxf>
      <font>
        <name val="Arial"/>
        <charset val="1"/>
        <family val="0"/>
        <color rgb="FF0F766E"/>
        <sz val="9"/>
      </font>
    </dxf>
    <dxf>
      <font>
        <name val="Arial"/>
        <charset val="1"/>
        <family val="0"/>
        <color rgb="FFFCA5A5"/>
        <sz val="10"/>
      </font>
    </dxf>
    <dxf>
      <fill>
        <patternFill>
          <bgColor rgb="FFCCFBF1"/>
        </patternFill>
      </fill>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D9D9D9"/>
      <rgbColor rgb="FF878787"/>
      <rgbColor rgb="FF9999FF"/>
      <rgbColor rgb="FF993366"/>
      <rgbColor rgb="FFFEF9C3"/>
      <rgbColor rgb="FFCCFBF1"/>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E2E8F0"/>
      <rgbColor rgb="FFF8FAFC"/>
      <rgbColor rgb="FFFEE2E2"/>
      <rgbColor rgb="FF99CCFF"/>
      <rgbColor rgb="FFFCA5A5"/>
      <rgbColor rgb="FFCC99FF"/>
      <rgbColor rgb="FFFCD34D"/>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NPV profile</a:t>
            </a:r>
          </a:p>
        </c:rich>
      </c:tx>
      <c:overlay val="0"/>
      <c:spPr>
        <a:noFill/>
        <a:ln w="0">
          <a:noFill/>
        </a:ln>
      </c:spPr>
    </c:title>
    <c:autoTitleDeleted val="0"/>
    <c:plotArea>
      <c:scatterChart>
        <c:scatterStyle val="lineMarker"/>
        <c:varyColors val="0"/>
        <c:ser>
          <c:idx val="0"/>
          <c:order val="0"/>
          <c:tx>
            <c:strRef>
              <c:f>"NPV"</c:f>
              <c:strCache>
                <c:ptCount val="1"/>
                <c:pt idx="0">
                  <c:v>NPV</c:v>
                </c:pt>
              </c:strCache>
            </c:strRef>
          </c:tx>
          <c:spPr>
            <a:solidFill>
              <a:srgbClr val="2563eb"/>
            </a:solidFill>
            <a:ln w="28440">
              <a:solidFill>
                <a:srgbClr val="2563eb"/>
              </a:solidFill>
              <a:round/>
            </a:ln>
          </c:spPr>
          <c:marker>
            <c:symbol val="circle"/>
            <c:size val="5"/>
            <c:spPr>
              <a:solidFill>
                <a:srgbClr val="2563e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'NPV Profile'!$C$12:$C$24</c:f>
              <c:numCache>
                <c:formatCode>0.00%</c:formatCode>
                <c:ptCount val="13"/>
                <c:pt idx="0">
                  <c:v>0</c:v>
                </c:pt>
                <c:pt idx="1">
                  <c:v>0.025</c:v>
                </c:pt>
                <c:pt idx="2">
                  <c:v>0.05</c:v>
                </c:pt>
                <c:pt idx="3">
                  <c:v>0.075</c:v>
                </c:pt>
                <c:pt idx="4">
                  <c:v>0.1</c:v>
                </c:pt>
                <c:pt idx="5">
                  <c:v>0.125</c:v>
                </c:pt>
                <c:pt idx="6">
                  <c:v>0.15</c:v>
                </c:pt>
                <c:pt idx="7">
                  <c:v>0.175</c:v>
                </c:pt>
                <c:pt idx="8">
                  <c:v>0.2</c:v>
                </c:pt>
                <c:pt idx="9">
                  <c:v>0.225</c:v>
                </c:pt>
                <c:pt idx="10">
                  <c:v>0.25</c:v>
                </c:pt>
                <c:pt idx="11">
                  <c:v>0.275</c:v>
                </c:pt>
                <c:pt idx="12">
                  <c:v>0.3</c:v>
                </c:pt>
              </c:numCache>
            </c:numRef>
          </c:xVal>
          <c:yVal>
            <c:numRef>
              <c:f>'NPV Profile'!$D$12:$D$24</c:f>
              <c:numCache>
                <c:formatCode>#,##0.00;[RED]\-#,##0.00;\-</c:formatCode>
                <c:ptCount val="13"/>
                <c:pt idx="0">
                  <c:v>25000</c:v>
                </c:pt>
                <c:pt idx="1">
                  <c:v>19687.4274342899</c:v>
                </c:pt>
                <c:pt idx="2">
                  <c:v>14942.1500594623</c:v>
                </c:pt>
                <c:pt idx="3">
                  <c:v>10688.2735299768</c:v>
                </c:pt>
                <c:pt idx="4">
                  <c:v>6861.80154112671</c:v>
                </c:pt>
                <c:pt idx="5">
                  <c:v>3408.52512320276</c:v>
                </c:pt>
                <c:pt idx="6">
                  <c:v>282.326470171036</c:v>
                </c:pt>
                <c:pt idx="7">
                  <c:v>-2556.19146746893</c:v>
                </c:pt>
                <c:pt idx="8">
                  <c:v>-5140.81790123456</c:v>
                </c:pt>
                <c:pt idx="9">
                  <c:v>-7500.64247221888</c:v>
                </c:pt>
                <c:pt idx="10">
                  <c:v>-9660.8</c:v>
                </c:pt>
                <c:pt idx="11">
                  <c:v>-11643.0839144582</c:v>
                </c:pt>
                <c:pt idx="12">
                  <c:v>-13466.4537171452</c:v>
                </c:pt>
              </c:numCache>
            </c:numRef>
          </c:yVal>
          <c:smooth val="0"/>
        </c:ser>
        <c:axId val="88993825"/>
        <c:axId val="27095538"/>
      </c:scatterChart>
      <c:valAx>
        <c:axId val="88993825"/>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Discount rate</a:t>
                </a:r>
              </a:p>
            </c:rich>
          </c:tx>
          <c:overlay val="0"/>
          <c:spPr>
            <a:noFill/>
            <a:ln w="0">
              <a:noFill/>
            </a:ln>
          </c:spPr>
        </c:title>
        <c:numFmt formatCode="0%"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27095538"/>
        <c:crosses val="autoZero"/>
        <c:crossBetween val="midCat"/>
      </c:valAx>
      <c:valAx>
        <c:axId val="2709553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NPV</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8993825"/>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6</xdr:row>
      <xdr:rowOff>0</xdr:rowOff>
    </xdr:from>
    <xdr:to>
      <xdr:col>10</xdr:col>
      <xdr:colOff>630720</xdr:colOff>
      <xdr:row>19</xdr:row>
      <xdr:rowOff>720</xdr:rowOff>
    </xdr:to>
    <xdr:graphicFrame>
      <xdr:nvGraphicFramePr>
        <xdr:cNvPr id="0" name="Chart 1"/>
        <xdr:cNvGraphicFramePr/>
      </xdr:nvGraphicFramePr>
      <xdr:xfrm>
        <a:off x="4229280" y="1047600"/>
        <a:ext cx="4859640" cy="259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18" hidden="false" customHeight="true" outlineLevel="0" collapsed="false">
      <c r="B11" s="8" t="s">
        <v>5</v>
      </c>
      <c r="C11" s="9" t="s">
        <v>6</v>
      </c>
    </row>
    <row r="12" customFormat="false" ht="18" hidden="false" customHeight="true" outlineLevel="0" collapsed="false">
      <c r="B12" s="8" t="s">
        <v>7</v>
      </c>
      <c r="C12" s="9" t="s">
        <v>8</v>
      </c>
    </row>
    <row r="13" customFormat="false" ht="30" hidden="false" customHeight="true" outlineLevel="0" collapsed="false">
      <c r="B13" s="8" t="s">
        <v>9</v>
      </c>
      <c r="C13" s="9" t="s">
        <v>10</v>
      </c>
    </row>
    <row r="14" customFormat="false" ht="30" hidden="false" customHeight="true" outlineLevel="0" collapsed="false">
      <c r="B14" s="8" t="s">
        <v>11</v>
      </c>
      <c r="C14" s="9" t="s">
        <v>12</v>
      </c>
    </row>
    <row r="15" customFormat="false" ht="30" hidden="false" customHeight="true" outlineLevel="0" collapsed="false">
      <c r="B15" s="8" t="s">
        <v>13</v>
      </c>
      <c r="C15" s="9" t="s">
        <v>14</v>
      </c>
    </row>
    <row r="17" customFormat="false" ht="19.5" hidden="false" customHeight="true" outlineLevel="0" collapsed="false">
      <c r="B17" s="5" t="s">
        <v>15</v>
      </c>
      <c r="C17" s="6"/>
    </row>
    <row r="18" customFormat="false" ht="30" hidden="false" customHeight="true" outlineLevel="0" collapsed="false">
      <c r="B18" s="8" t="s">
        <v>16</v>
      </c>
      <c r="C18" s="9" t="s">
        <v>17</v>
      </c>
    </row>
    <row r="19" customFormat="false" ht="30" hidden="false" customHeight="true" outlineLevel="0" collapsed="false">
      <c r="B19" s="8" t="s">
        <v>18</v>
      </c>
      <c r="C19" s="9" t="s">
        <v>19</v>
      </c>
    </row>
    <row r="20" customFormat="false" ht="30" hidden="false" customHeight="true" outlineLevel="0" collapsed="false">
      <c r="B20" s="8" t="s">
        <v>20</v>
      </c>
      <c r="C20" s="9" t="s">
        <v>21</v>
      </c>
    </row>
    <row r="22" customFormat="false" ht="19.5" hidden="false" customHeight="true" outlineLevel="0" collapsed="false">
      <c r="B22" s="5" t="s">
        <v>22</v>
      </c>
      <c r="C22" s="6"/>
    </row>
    <row r="23" customFormat="false" ht="19.5" hidden="false" customHeight="true" outlineLevel="0" collapsed="false">
      <c r="B23" s="10" t="s">
        <v>23</v>
      </c>
      <c r="C23" s="9" t="s">
        <v>24</v>
      </c>
    </row>
    <row r="24" customFormat="false" ht="19.5" hidden="false" customHeight="true" outlineLevel="0" collapsed="false">
      <c r="B24" s="11" t="s">
        <v>25</v>
      </c>
      <c r="C24" s="9" t="s">
        <v>26</v>
      </c>
    </row>
    <row r="25" customFormat="false" ht="19.5" hidden="false" customHeight="true" outlineLevel="0" collapsed="false">
      <c r="B25" s="12" t="s">
        <v>27</v>
      </c>
      <c r="C25" s="9" t="s">
        <v>28</v>
      </c>
    </row>
    <row r="26" customFormat="false" ht="19.5" hidden="false" customHeight="true" outlineLevel="0" collapsed="false">
      <c r="B26" s="13" t="s">
        <v>29</v>
      </c>
      <c r="C26" s="9" t="s">
        <v>30</v>
      </c>
    </row>
    <row r="28" customFormat="false" ht="19.5" hidden="false" customHeight="true" outlineLevel="0" collapsed="false">
      <c r="B28" s="5" t="s">
        <v>31</v>
      </c>
      <c r="C28" s="6"/>
    </row>
    <row r="29" customFormat="false" ht="30" hidden="false" customHeight="true" outlineLevel="0" collapsed="false">
      <c r="B29" s="8" t="s">
        <v>32</v>
      </c>
      <c r="C29" s="9" t="s">
        <v>33</v>
      </c>
    </row>
    <row r="30" customFormat="false" ht="18" hidden="false" customHeight="true" outlineLevel="0" collapsed="false">
      <c r="B30" s="8" t="s">
        <v>34</v>
      </c>
      <c r="C30" s="9" t="s">
        <v>35</v>
      </c>
    </row>
    <row r="31" customFormat="false" ht="30" hidden="false" customHeight="true" outlineLevel="0" collapsed="false">
      <c r="B31" s="8" t="s">
        <v>36</v>
      </c>
      <c r="C31" s="9" t="s">
        <v>37</v>
      </c>
    </row>
    <row r="32" customFormat="false" ht="18" hidden="false" customHeight="true" outlineLevel="0" collapsed="false">
      <c r="B32" s="8" t="s">
        <v>38</v>
      </c>
      <c r="C32" s="9" t="s">
        <v>39</v>
      </c>
    </row>
    <row r="34" customFormat="false" ht="19.5" hidden="false" customHeight="true" outlineLevel="0" collapsed="false">
      <c r="B34" s="5" t="s">
        <v>40</v>
      </c>
      <c r="C34" s="6"/>
    </row>
    <row r="35" customFormat="false" ht="18" hidden="false" customHeight="true" outlineLevel="0" collapsed="false">
      <c r="B35" s="7" t="s">
        <v>41</v>
      </c>
      <c r="C35" s="7"/>
    </row>
    <row r="36" customFormat="false" ht="18" hidden="false" customHeight="true" outlineLevel="0" collapsed="false">
      <c r="B36" s="7" t="s">
        <v>42</v>
      </c>
      <c r="C36" s="7"/>
    </row>
    <row r="37" customFormat="false" ht="18" hidden="false" customHeight="true" outlineLevel="0" collapsed="false">
      <c r="B37" s="7" t="s">
        <v>43</v>
      </c>
      <c r="C37" s="7"/>
    </row>
    <row r="38" customFormat="false" ht="18" hidden="false" customHeight="true" outlineLevel="0" collapsed="false">
      <c r="B38" s="7" t="s">
        <v>44</v>
      </c>
      <c r="C38" s="7"/>
    </row>
    <row r="39" customFormat="false" ht="18" hidden="false" customHeight="true" outlineLevel="0" collapsed="false">
      <c r="B39" s="7" t="s">
        <v>45</v>
      </c>
      <c r="C39" s="7"/>
    </row>
    <row r="41" customFormat="false" ht="19.5" hidden="false" customHeight="true" outlineLevel="0" collapsed="false">
      <c r="B41" s="5" t="s">
        <v>46</v>
      </c>
      <c r="C41" s="6"/>
    </row>
    <row r="42" customFormat="false" ht="18" hidden="false" customHeight="true" outlineLevel="0" collapsed="false">
      <c r="B42" s="14" t="s">
        <v>47</v>
      </c>
      <c r="C42" s="9" t="s">
        <v>48</v>
      </c>
    </row>
    <row r="43" customFormat="false" ht="18" hidden="false" customHeight="true" outlineLevel="0" collapsed="false">
      <c r="B43" s="14" t="s">
        <v>49</v>
      </c>
      <c r="C43" s="9" t="s">
        <v>50</v>
      </c>
    </row>
    <row r="44" customFormat="false" ht="18" hidden="false" customHeight="true" outlineLevel="0" collapsed="false">
      <c r="B44" s="14" t="s">
        <v>51</v>
      </c>
      <c r="C44" s="9" t="s">
        <v>52</v>
      </c>
    </row>
    <row r="45" customFormat="false" ht="18" hidden="false" customHeight="true" outlineLevel="0" collapsed="false">
      <c r="B45" s="14" t="s">
        <v>53</v>
      </c>
      <c r="C45" s="9" t="s">
        <v>54</v>
      </c>
    </row>
    <row r="46" customFormat="false" ht="18" hidden="false" customHeight="true" outlineLevel="0" collapsed="false">
      <c r="B46" s="14" t="s">
        <v>55</v>
      </c>
      <c r="C46" s="9" t="s">
        <v>56</v>
      </c>
    </row>
    <row r="47" customFormat="false" ht="18" hidden="false" customHeight="true" outlineLevel="0" collapsed="false">
      <c r="B47" s="14" t="s">
        <v>57</v>
      </c>
      <c r="C47" s="9" t="s">
        <v>58</v>
      </c>
    </row>
    <row r="48" customFormat="false" ht="18" hidden="false" customHeight="true" outlineLevel="0" collapsed="false">
      <c r="B48" s="14" t="s">
        <v>59</v>
      </c>
      <c r="C48" s="9" t="s">
        <v>60</v>
      </c>
    </row>
    <row r="50" customFormat="false" ht="30" hidden="false" customHeight="true" outlineLevel="0" collapsed="false">
      <c r="B50" s="15" t="s">
        <v>61</v>
      </c>
      <c r="C50" s="15"/>
    </row>
  </sheetData>
  <mergeCells count="7">
    <mergeCell ref="B8:C8"/>
    <mergeCell ref="B35:C35"/>
    <mergeCell ref="B36:C36"/>
    <mergeCell ref="B37:C37"/>
    <mergeCell ref="B38:C38"/>
    <mergeCell ref="B39:C39"/>
    <mergeCell ref="B50:C50"/>
  </mergeCells>
  <hyperlinks>
    <hyperlink ref="B42" location="'IRR Calculator'!A1" display="IRR Calculator"/>
    <hyperlink ref="B43" location="'IRR Solver'!A1" display="IRR Solver"/>
    <hyperlink ref="B44" location="'NPV Profile'!A1" display="NPV Profile"/>
    <hyperlink ref="B45" location="'Compare Projects'!A1" display="Compare Projects"/>
    <hyperlink ref="B46" location="'Worked Examples'!A1" display="Worked Examples"/>
    <hyperlink ref="B47" location="'Formula Guide'!A1" display="Formula Guide"/>
    <hyperlink ref="B48"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6"/>
    <col collapsed="false" customWidth="true" hidden="false" outlineLevel="0" max="5" min="3" style="0" width="17"/>
    <col collapsed="false" customWidth="true" hidden="false" outlineLevel="0" max="6" min="6" style="0" width="12"/>
    <col collapsed="false" customWidth="true" hidden="false" outlineLevel="0" max="7" min="7" style="0" width="3"/>
    <col collapsed="false" customWidth="true" hidden="false" outlineLevel="0" max="8" min="8" style="0" width="40"/>
    <col collapsed="false" customWidth="true" hidden="false" outlineLevel="0" max="9" min="9" style="0" width="20"/>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47</v>
      </c>
      <c r="C2" s="1"/>
      <c r="D2" s="1"/>
      <c r="E2" s="1"/>
      <c r="F2" s="1"/>
      <c r="G2" s="1"/>
      <c r="H2" s="1"/>
      <c r="I2" s="1"/>
      <c r="J2" s="1"/>
    </row>
    <row r="3" customFormat="false" ht="19.5" hidden="false" customHeight="true" outlineLevel="0" collapsed="false">
      <c r="A3" s="1"/>
      <c r="B3" s="3" t="s">
        <v>62</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63</v>
      </c>
      <c r="C7" s="6"/>
      <c r="D7" s="6"/>
      <c r="E7" s="6"/>
      <c r="F7" s="6"/>
      <c r="H7" s="16"/>
      <c r="I7" s="17"/>
    </row>
    <row r="8" customFormat="false" ht="15" hidden="false" customHeight="false" outlineLevel="0" collapsed="false">
      <c r="B8" s="18" t="s">
        <v>64</v>
      </c>
      <c r="D8" s="19" t="n">
        <v>50000</v>
      </c>
      <c r="H8" s="20" t="s">
        <v>65</v>
      </c>
      <c r="I8" s="17"/>
    </row>
    <row r="9" customFormat="false" ht="15" hidden="false" customHeight="true" outlineLevel="0" collapsed="false">
      <c r="B9" s="21" t="s">
        <v>66</v>
      </c>
      <c r="C9" s="21"/>
      <c r="D9" s="21"/>
      <c r="E9" s="21"/>
      <c r="F9" s="21"/>
      <c r="H9" s="16"/>
      <c r="I9" s="17"/>
    </row>
    <row r="10" customFormat="false" ht="15" hidden="false" customHeight="false" outlineLevel="0" collapsed="false">
      <c r="B10" s="18" t="s">
        <v>67</v>
      </c>
      <c r="D10" s="22" t="n">
        <v>0.1</v>
      </c>
      <c r="H10" s="23" t="s">
        <v>68</v>
      </c>
      <c r="I10" s="17"/>
    </row>
    <row r="11" customFormat="false" ht="15" hidden="false" customHeight="true" outlineLevel="0" collapsed="false">
      <c r="B11" s="21" t="s">
        <v>69</v>
      </c>
      <c r="C11" s="21"/>
      <c r="D11" s="21"/>
      <c r="E11" s="21"/>
      <c r="F11" s="21"/>
      <c r="H11" s="24" t="n">
        <f aca="false">IF(AND(AND(COUNT(Cash_Flows)&gt;0,N(Initial_Investment)&gt;0),'IRR Solver'!$D$12),ROUND(('IRR Solver'!C76+'IRR Solver'!D76)/2,12),"—")</f>
        <v>0.152382371166</v>
      </c>
      <c r="I11" s="24"/>
    </row>
    <row r="12" customFormat="false" ht="15" hidden="false" customHeight="false" outlineLevel="0" collapsed="false">
      <c r="H12" s="24"/>
      <c r="I12" s="24"/>
    </row>
    <row r="13" customFormat="false" ht="19.5" hidden="false" customHeight="true" outlineLevel="0" collapsed="false">
      <c r="B13" s="5" t="s">
        <v>70</v>
      </c>
      <c r="C13" s="6"/>
      <c r="D13" s="6"/>
      <c r="E13" s="6"/>
      <c r="F13" s="6"/>
      <c r="H13" s="16"/>
      <c r="I13" s="17"/>
    </row>
    <row r="14" customFormat="false" ht="27.75" hidden="false" customHeight="true" outlineLevel="0" collapsed="false">
      <c r="B14" s="25" t="s">
        <v>71</v>
      </c>
      <c r="C14" s="26" t="s">
        <v>72</v>
      </c>
      <c r="D14" s="26" t="s">
        <v>73</v>
      </c>
      <c r="E14" s="26" t="s">
        <v>74</v>
      </c>
      <c r="F14" s="26" t="s">
        <v>75</v>
      </c>
      <c r="H14" s="27" t="s">
        <v>76</v>
      </c>
      <c r="I14" s="28" t="n">
        <f aca="false">IF(ISNUMBER(IRR_Result),(IRR_Result-N(Hurdle_Rate))*100,"—")</f>
        <v>5.2382371166</v>
      </c>
    </row>
    <row r="15" customFormat="false" ht="15" hidden="false" customHeight="false" outlineLevel="0" collapsed="false">
      <c r="B15" s="29" t="n">
        <v>1</v>
      </c>
      <c r="C15" s="19" t="n">
        <v>15000</v>
      </c>
      <c r="D15" s="30" t="n">
        <f aca="false">IF(AND(ISNUMBER(C15),N(Hurdle_Rate)&gt;-1),C15/(1+N(Hurdle_Rate))^B15,"")</f>
        <v>13636.3636363636</v>
      </c>
      <c r="E15" s="30" t="n">
        <f aca="false">IF(AND(ISNUMBER(C15),ISNUMBER(IRR_Result)),C15/(1+IRR_Result)^B15,"")</f>
        <v>13016.5128999871</v>
      </c>
      <c r="F15" s="31" t="n">
        <f aca="false">IF(AND(N(C15)&lt;&gt;0,-N(Initial_Investment)&lt;&gt;0,SIGN(N(C15))&lt;&gt;SIGN(-N(Initial_Investment))),1,0)</f>
        <v>1</v>
      </c>
      <c r="H15" s="27" t="s">
        <v>77</v>
      </c>
      <c r="I15" s="32" t="n">
        <f aca="false">IF(AND(AND(COUNT(Cash_Flows)&gt;0,N(Initial_Investment)&gt;0),N(Hurdle_Rate)&gt;-1),D45-N(Initial_Investment),"—")</f>
        <v>6861.80154112671</v>
      </c>
    </row>
    <row r="16" customFormat="false" ht="15" hidden="false" customHeight="false" outlineLevel="0" collapsed="false">
      <c r="B16" s="29" t="n">
        <v>2</v>
      </c>
      <c r="C16" s="19" t="n">
        <v>15000</v>
      </c>
      <c r="D16" s="30" t="n">
        <f aca="false">IF(AND(ISNUMBER(C16),N(Hurdle_Rate)&gt;-1),C16/(1+N(Hurdle_Rate))^B16,"")</f>
        <v>12396.694214876</v>
      </c>
      <c r="E16" s="30" t="n">
        <f aca="false">IF(AND(ISNUMBER(C16),ISNUMBER(IRR_Result)),C16/(1+IRR_Result)^B16,"")</f>
        <v>11295.3072050354</v>
      </c>
      <c r="F16" s="31" t="n">
        <f aca="false">IF(AND(N(C16)&lt;&gt;0,N(C15)&lt;&gt;0,SIGN(N(C16))&lt;&gt;SIGN(N(C15))),1,0)</f>
        <v>0</v>
      </c>
      <c r="H16" s="27" t="s">
        <v>78</v>
      </c>
      <c r="I16" s="32" t="n">
        <f aca="false">C45</f>
        <v>75000</v>
      </c>
    </row>
    <row r="17" customFormat="false" ht="15" hidden="false" customHeight="false" outlineLevel="0" collapsed="false">
      <c r="B17" s="29" t="n">
        <v>3</v>
      </c>
      <c r="C17" s="19" t="n">
        <v>15000</v>
      </c>
      <c r="D17" s="30" t="n">
        <f aca="false">IF(AND(ISNUMBER(C17),N(Hurdle_Rate)&gt;-1),C17/(1+N(Hurdle_Rate))^B17,"")</f>
        <v>11269.7220135237</v>
      </c>
      <c r="E17" s="30" t="n">
        <f aca="false">IF(AND(ISNUMBER(C17),ISNUMBER(IRR_Result)),C17/(1+IRR_Result)^B17,"")</f>
        <v>9801.70079624409</v>
      </c>
      <c r="F17" s="31" t="n">
        <f aca="false">IF(AND(N(C17)&lt;&gt;0,N(C16)&lt;&gt;0,SIGN(N(C17))&lt;&gt;SIGN(N(C16))),1,0)</f>
        <v>0</v>
      </c>
      <c r="H17" s="27" t="s">
        <v>79</v>
      </c>
      <c r="I17" s="33" t="n">
        <f aca="false">IF(AND(COUNT(Cash_Flows)&gt;0,N(Initial_Investment)&gt;0),Sign_Changes,"—")</f>
        <v>1</v>
      </c>
    </row>
    <row r="18" customFormat="false" ht="15" hidden="false" customHeight="false" outlineLevel="0" collapsed="false">
      <c r="B18" s="29" t="n">
        <v>4</v>
      </c>
      <c r="C18" s="19" t="n">
        <v>15000</v>
      </c>
      <c r="D18" s="30" t="n">
        <f aca="false">IF(AND(ISNUMBER(C18),N(Hurdle_Rate)&gt;-1),C18/(1+N(Hurdle_Rate))^B18,"")</f>
        <v>10245.2018304761</v>
      </c>
      <c r="E18" s="30" t="n">
        <f aca="false">IF(AND(ISNUMBER(C18),ISNUMBER(IRR_Result)),C18/(1+IRR_Result)^B18,"")</f>
        <v>8505.59765707502</v>
      </c>
      <c r="F18" s="31" t="n">
        <f aca="false">IF(AND(N(C18)&lt;&gt;0,N(C17)&lt;&gt;0,SIGN(N(C18))&lt;&gt;SIGN(N(C17))),1,0)</f>
        <v>0</v>
      </c>
      <c r="H18" s="34" t="str">
        <f aca="false">IF(AND(AND(COUNT(Cash_Flows)&gt;0,N(Initial_Investment)&gt;0),Sign_Changes&gt;1),"⚠ Cash flows change direction more than once — more than one IRR may exist. Trust NPV.","")</f>
        <v/>
      </c>
      <c r="I18" s="34"/>
    </row>
    <row r="19" customFormat="false" ht="15" hidden="false" customHeight="false" outlineLevel="0" collapsed="false">
      <c r="B19" s="29" t="n">
        <v>5</v>
      </c>
      <c r="C19" s="19" t="n">
        <v>15000</v>
      </c>
      <c r="D19" s="30" t="n">
        <f aca="false">IF(AND(ISNUMBER(C19),N(Hurdle_Rate)&gt;-1),C19/(1+N(Hurdle_Rate))^B19,"")</f>
        <v>9313.81984588733</v>
      </c>
      <c r="E19" s="30" t="n">
        <f aca="false">IF(AND(ISNUMBER(C19),ISNUMBER(IRR_Result)),C19/(1+IRR_Result)^B19,"")</f>
        <v>7380.88144169449</v>
      </c>
      <c r="F19" s="31" t="n">
        <f aca="false">IF(AND(N(C19)&lt;&gt;0,N(C18)&lt;&gt;0,SIGN(N(C19))&lt;&gt;SIGN(N(C18))),1,0)</f>
        <v>0</v>
      </c>
      <c r="H19" s="34"/>
      <c r="I19" s="34"/>
    </row>
    <row r="20" customFormat="false" ht="15" hidden="false" customHeight="false" outlineLevel="0" collapsed="false">
      <c r="B20" s="29" t="n">
        <v>6</v>
      </c>
      <c r="C20" s="19"/>
      <c r="D20" s="30" t="str">
        <f aca="false">IF(AND(ISNUMBER(C20),N(Hurdle_Rate)&gt;-1),C20/(1+N(Hurdle_Rate))^B20,"")</f>
        <v/>
      </c>
      <c r="E20" s="30" t="str">
        <f aca="false">IF(AND(ISNUMBER(C20),ISNUMBER(IRR_Result)),C20/(1+IRR_Result)^B20,"")</f>
        <v/>
      </c>
      <c r="F20" s="31" t="n">
        <f aca="false">IF(AND(N(C20)&lt;&gt;0,N(C19)&lt;&gt;0,SIGN(N(C20))&lt;&gt;SIGN(N(C19))),1,0)</f>
        <v>0</v>
      </c>
    </row>
    <row r="21" customFormat="false" ht="19.5" hidden="false" customHeight="true" outlineLevel="0" collapsed="false">
      <c r="B21" s="29" t="n">
        <v>7</v>
      </c>
      <c r="C21" s="19"/>
      <c r="D21" s="30" t="str">
        <f aca="false">IF(AND(ISNUMBER(C21),N(Hurdle_Rate)&gt;-1),C21/(1+N(Hurdle_Rate))^B21,"")</f>
        <v/>
      </c>
      <c r="E21" s="30" t="str">
        <f aca="false">IF(AND(ISNUMBER(C21),ISNUMBER(IRR_Result)),C21/(1+IRR_Result)^B21,"")</f>
        <v/>
      </c>
      <c r="F21" s="31" t="n">
        <f aca="false">IF(AND(N(C21)&lt;&gt;0,N(C20)&lt;&gt;0,SIGN(N(C21))&lt;&gt;SIGN(N(C20))),1,0)</f>
        <v>0</v>
      </c>
      <c r="H21" s="5" t="s">
        <v>80</v>
      </c>
      <c r="I21" s="6"/>
    </row>
    <row r="22" customFormat="false" ht="15" hidden="false" customHeight="false" outlineLevel="0" collapsed="false">
      <c r="B22" s="29" t="n">
        <v>8</v>
      </c>
      <c r="C22" s="19"/>
      <c r="D22" s="30" t="str">
        <f aca="false">IF(AND(ISNUMBER(C22),N(Hurdle_Rate)&gt;-1),C22/(1+N(Hurdle_Rate))^B22,"")</f>
        <v/>
      </c>
      <c r="E22" s="30" t="str">
        <f aca="false">IF(AND(ISNUMBER(C22),ISNUMBER(IRR_Result)),C22/(1+IRR_Result)^B22,"")</f>
        <v/>
      </c>
      <c r="F22" s="31" t="n">
        <f aca="false">IF(AND(N(C22)&lt;&gt;0,N(C21)&lt;&gt;0,SIGN(N(C22))&lt;&gt;SIGN(N(C21))),1,0)</f>
        <v>0</v>
      </c>
      <c r="H22" s="35" t="str">
        <f aca="false">IF(NOT(AND(COUNT(Cash_Flows)&gt;0,N(Initial_Investment)&gt;0)),"Enter an initial investment and at least one yearly cash flow.",IF(NOT(ISNUMBER(IRR_Result)),IF(Sign_Changes&gt;1,"No single internal rate of return could be found: these cash flows change direction more than once, so there may be several IRRs or none. Use NPV instead.","These cash flows never break even at any discount rate, so no internal rate of return exists. Use NPV instead."),IF(Margin_Pts&gt;=0,"The project earns an effective "&amp;TEXT(IRR_Result*100,"0.00")&amp;"% a year, which clears your "&amp;ROUND(N(Hurdle_Rate)*100,8)&amp;"%"&amp;" hurdle with "&amp;TEXT(Margin_Pts,"0.00")&amp;" points to spare.","The project earns "&amp;TEXT(IRR_Result*100,"0.00")&amp;"% a year, which falls "&amp;TEXT(ABS(Margin_Pts),"0.00")&amp;" points short of your "&amp;ROUND(N(Hurdle_Rate)*100,8)&amp;"%"&amp;" hurdle.")&amp;IF(Sign_Changes&gt;1," Note: your cash flows change direction more than once, so more than one IRR may be mathematically valid here. Trust the NPV figure instead.","")))</f>
        <v>The project earns an effective 15.24% a year, which clears your 10% hurdle with 5.24 points to spare.</v>
      </c>
      <c r="I22" s="35"/>
    </row>
    <row r="23" customFormat="false" ht="15" hidden="false" customHeight="false" outlineLevel="0" collapsed="false">
      <c r="B23" s="29" t="n">
        <v>9</v>
      </c>
      <c r="C23" s="19"/>
      <c r="D23" s="30" t="str">
        <f aca="false">IF(AND(ISNUMBER(C23),N(Hurdle_Rate)&gt;-1),C23/(1+N(Hurdle_Rate))^B23,"")</f>
        <v/>
      </c>
      <c r="E23" s="30" t="str">
        <f aca="false">IF(AND(ISNUMBER(C23),ISNUMBER(IRR_Result)),C23/(1+IRR_Result)^B23,"")</f>
        <v/>
      </c>
      <c r="F23" s="31" t="n">
        <f aca="false">IF(AND(N(C23)&lt;&gt;0,N(C22)&lt;&gt;0,SIGN(N(C23))&lt;&gt;SIGN(N(C22))),1,0)</f>
        <v>0</v>
      </c>
      <c r="H23" s="35"/>
      <c r="I23" s="35"/>
    </row>
    <row r="24" customFormat="false" ht="15" hidden="false" customHeight="false" outlineLevel="0" collapsed="false">
      <c r="B24" s="29" t="n">
        <v>10</v>
      </c>
      <c r="C24" s="19"/>
      <c r="D24" s="30" t="str">
        <f aca="false">IF(AND(ISNUMBER(C24),N(Hurdle_Rate)&gt;-1),C24/(1+N(Hurdle_Rate))^B24,"")</f>
        <v/>
      </c>
      <c r="E24" s="30" t="str">
        <f aca="false">IF(AND(ISNUMBER(C24),ISNUMBER(IRR_Result)),C24/(1+IRR_Result)^B24,"")</f>
        <v/>
      </c>
      <c r="F24" s="31" t="n">
        <f aca="false">IF(AND(N(C24)&lt;&gt;0,N(C23)&lt;&gt;0,SIGN(N(C24))&lt;&gt;SIGN(N(C23))),1,0)</f>
        <v>0</v>
      </c>
      <c r="H24" s="35"/>
      <c r="I24" s="35"/>
    </row>
    <row r="25" customFormat="false" ht="15" hidden="false" customHeight="false" outlineLevel="0" collapsed="false">
      <c r="B25" s="29" t="n">
        <v>11</v>
      </c>
      <c r="C25" s="19"/>
      <c r="D25" s="30" t="str">
        <f aca="false">IF(AND(ISNUMBER(C25),N(Hurdle_Rate)&gt;-1),C25/(1+N(Hurdle_Rate))^B25,"")</f>
        <v/>
      </c>
      <c r="E25" s="30" t="str">
        <f aca="false">IF(AND(ISNUMBER(C25),ISNUMBER(IRR_Result)),C25/(1+IRR_Result)^B25,"")</f>
        <v/>
      </c>
      <c r="F25" s="31" t="n">
        <f aca="false">IF(AND(N(C25)&lt;&gt;0,N(C24)&lt;&gt;0,SIGN(N(C25))&lt;&gt;SIGN(N(C24))),1,0)</f>
        <v>0</v>
      </c>
      <c r="H25" s="35"/>
      <c r="I25" s="35"/>
    </row>
    <row r="26" customFormat="false" ht="15" hidden="false" customHeight="false" outlineLevel="0" collapsed="false">
      <c r="B26" s="29" t="n">
        <v>12</v>
      </c>
      <c r="C26" s="19"/>
      <c r="D26" s="30" t="str">
        <f aca="false">IF(AND(ISNUMBER(C26),N(Hurdle_Rate)&gt;-1),C26/(1+N(Hurdle_Rate))^B26,"")</f>
        <v/>
      </c>
      <c r="E26" s="30" t="str">
        <f aca="false">IF(AND(ISNUMBER(C26),ISNUMBER(IRR_Result)),C26/(1+IRR_Result)^B26,"")</f>
        <v/>
      </c>
      <c r="F26" s="31" t="n">
        <f aca="false">IF(AND(N(C26)&lt;&gt;0,N(C25)&lt;&gt;0,SIGN(N(C26))&lt;&gt;SIGN(N(C25))),1,0)</f>
        <v>0</v>
      </c>
      <c r="H26" s="35"/>
      <c r="I26" s="35"/>
    </row>
    <row r="27" customFormat="false" ht="15" hidden="false" customHeight="false" outlineLevel="0" collapsed="false">
      <c r="B27" s="29" t="n">
        <v>13</v>
      </c>
      <c r="C27" s="19"/>
      <c r="D27" s="30" t="str">
        <f aca="false">IF(AND(ISNUMBER(C27),N(Hurdle_Rate)&gt;-1),C27/(1+N(Hurdle_Rate))^B27,"")</f>
        <v/>
      </c>
      <c r="E27" s="30" t="str">
        <f aca="false">IF(AND(ISNUMBER(C27),ISNUMBER(IRR_Result)),C27/(1+IRR_Result)^B27,"")</f>
        <v/>
      </c>
      <c r="F27" s="31" t="n">
        <f aca="false">IF(AND(N(C27)&lt;&gt;0,N(C26)&lt;&gt;0,SIGN(N(C27))&lt;&gt;SIGN(N(C26))),1,0)</f>
        <v>0</v>
      </c>
      <c r="H27" s="35"/>
      <c r="I27" s="35"/>
    </row>
    <row r="28" customFormat="false" ht="15" hidden="false" customHeight="false" outlineLevel="0" collapsed="false">
      <c r="B28" s="29" t="n">
        <v>14</v>
      </c>
      <c r="C28" s="19"/>
      <c r="D28" s="30" t="str">
        <f aca="false">IF(AND(ISNUMBER(C28),N(Hurdle_Rate)&gt;-1),C28/(1+N(Hurdle_Rate))^B28,"")</f>
        <v/>
      </c>
      <c r="E28" s="30" t="str">
        <f aca="false">IF(AND(ISNUMBER(C28),ISNUMBER(IRR_Result)),C28/(1+IRR_Result)^B28,"")</f>
        <v/>
      </c>
      <c r="F28" s="31" t="n">
        <f aca="false">IF(AND(N(C28)&lt;&gt;0,N(C27)&lt;&gt;0,SIGN(N(C28))&lt;&gt;SIGN(N(C27))),1,0)</f>
        <v>0</v>
      </c>
    </row>
    <row r="29" customFormat="false" ht="19.5" hidden="false" customHeight="true" outlineLevel="0" collapsed="false">
      <c r="B29" s="29" t="n">
        <v>15</v>
      </c>
      <c r="C29" s="19"/>
      <c r="D29" s="30" t="str">
        <f aca="false">IF(AND(ISNUMBER(C29),N(Hurdle_Rate)&gt;-1),C29/(1+N(Hurdle_Rate))^B29,"")</f>
        <v/>
      </c>
      <c r="E29" s="30" t="str">
        <f aca="false">IF(AND(ISNUMBER(C29),ISNUMBER(IRR_Result)),C29/(1+IRR_Result)^B29,"")</f>
        <v/>
      </c>
      <c r="F29" s="31" t="n">
        <f aca="false">IF(AND(N(C29)&lt;&gt;0,N(C28)&lt;&gt;0,SIGN(N(C29))&lt;&gt;SIGN(N(C28))),1,0)</f>
        <v>0</v>
      </c>
      <c r="H29" s="5" t="s">
        <v>81</v>
      </c>
      <c r="I29" s="6"/>
    </row>
    <row r="30" customFormat="false" ht="15" hidden="false" customHeight="false" outlineLevel="0" collapsed="false">
      <c r="B30" s="29" t="n">
        <v>16</v>
      </c>
      <c r="C30" s="19"/>
      <c r="D30" s="30" t="str">
        <f aca="false">IF(AND(ISNUMBER(C30),N(Hurdle_Rate)&gt;-1),C30/(1+N(Hurdle_Rate))^B30,"")</f>
        <v/>
      </c>
      <c r="E30" s="30" t="str">
        <f aca="false">IF(AND(ISNUMBER(C30),ISNUMBER(IRR_Result)),C30/(1+IRR_Result)^B30,"")</f>
        <v/>
      </c>
      <c r="F30" s="31" t="n">
        <f aca="false">IF(AND(N(C30)&lt;&gt;0,N(C29)&lt;&gt;0,SIGN(N(C30))&lt;&gt;SIGN(N(C29))),1,0)</f>
        <v>0</v>
      </c>
      <c r="H30" s="36" t="str">
        <f aca="false">IF(N(Initial_Investment)&gt;0,"OK — initial investment entered","Check — enter an initial investment above zero")</f>
        <v>OK — initial investment entered</v>
      </c>
      <c r="I30" s="36"/>
    </row>
    <row r="31" customFormat="false" ht="15" hidden="false" customHeight="false" outlineLevel="0" collapsed="false">
      <c r="B31" s="29" t="n">
        <v>17</v>
      </c>
      <c r="C31" s="19"/>
      <c r="D31" s="30" t="str">
        <f aca="false">IF(AND(ISNUMBER(C31),N(Hurdle_Rate)&gt;-1),C31/(1+N(Hurdle_Rate))^B31,"")</f>
        <v/>
      </c>
      <c r="E31" s="30" t="str">
        <f aca="false">IF(AND(ISNUMBER(C31),ISNUMBER(IRR_Result)),C31/(1+IRR_Result)^B31,"")</f>
        <v/>
      </c>
      <c r="F31" s="31" t="n">
        <f aca="false">IF(AND(N(C31)&lt;&gt;0,N(C30)&lt;&gt;0,SIGN(N(C31))&lt;&gt;SIGN(N(C30))),1,0)</f>
        <v>0</v>
      </c>
      <c r="H31" s="36" t="str">
        <f aca="false">IF(ISBLANK(Hurdle_Rate),"Note — no hurdle rate entered, so 0% is used",IF(NOT(ISNUMBER(Hurdle_Rate)),"Check — the hurdle rate must be a number",IF(Hurdle_Rate&lt;=-1,"Check — the hurdle rate must be above −100%","OK — hurdle rate is valid")))</f>
        <v>OK — hurdle rate is valid</v>
      </c>
      <c r="I31" s="36"/>
    </row>
    <row r="32" customFormat="false" ht="15" hidden="false" customHeight="false" outlineLevel="0" collapsed="false">
      <c r="B32" s="29" t="n">
        <v>18</v>
      </c>
      <c r="C32" s="19"/>
      <c r="D32" s="30" t="str">
        <f aca="false">IF(AND(ISNUMBER(C32),N(Hurdle_Rate)&gt;-1),C32/(1+N(Hurdle_Rate))^B32,"")</f>
        <v/>
      </c>
      <c r="E32" s="30" t="str">
        <f aca="false">IF(AND(ISNUMBER(C32),ISNUMBER(IRR_Result)),C32/(1+IRR_Result)^B32,"")</f>
        <v/>
      </c>
      <c r="F32" s="31" t="n">
        <f aca="false">IF(AND(N(C32)&lt;&gt;0,N(C31)&lt;&gt;0,SIGN(N(C32))&lt;&gt;SIGN(N(C31))),1,0)</f>
        <v>0</v>
      </c>
      <c r="H32" s="36" t="str">
        <f aca="false">IF(COUNT(Cash_Flows)=0,"Check — enter at least one yearly cash flow","OK — "&amp;COUNT(Cash_Flows)&amp;" yearly cash flow(s) entered")</f>
        <v>OK — 5 yearly cash flow(s) entered</v>
      </c>
      <c r="I32" s="36"/>
    </row>
    <row r="33" customFormat="false" ht="15" hidden="false" customHeight="false" outlineLevel="0" collapsed="false">
      <c r="B33" s="29" t="n">
        <v>19</v>
      </c>
      <c r="C33" s="19"/>
      <c r="D33" s="30" t="str">
        <f aca="false">IF(AND(ISNUMBER(C33),N(Hurdle_Rate)&gt;-1),C33/(1+N(Hurdle_Rate))^B33,"")</f>
        <v/>
      </c>
      <c r="E33" s="30" t="str">
        <f aca="false">IF(AND(ISNUMBER(C33),ISNUMBER(IRR_Result)),C33/(1+IRR_Result)^B33,"")</f>
        <v/>
      </c>
      <c r="F33" s="31" t="n">
        <f aca="false">IF(AND(N(C33)&lt;&gt;0,N(C32)&lt;&gt;0,SIGN(N(C33))&lt;&gt;SIGN(N(C32))),1,0)</f>
        <v>0</v>
      </c>
    </row>
    <row r="34" customFormat="false" ht="15" hidden="false" customHeight="true" outlineLevel="0" collapsed="false">
      <c r="B34" s="29" t="n">
        <v>20</v>
      </c>
      <c r="C34" s="19"/>
      <c r="D34" s="30" t="str">
        <f aca="false">IF(AND(ISNUMBER(C34),N(Hurdle_Rate)&gt;-1),C34/(1+N(Hurdle_Rate))^B34,"")</f>
        <v/>
      </c>
      <c r="E34" s="30" t="str">
        <f aca="false">IF(AND(ISNUMBER(C34),ISNUMBER(IRR_Result)),C34/(1+IRR_Result)^B34,"")</f>
        <v/>
      </c>
      <c r="F34" s="31" t="n">
        <f aca="false">IF(AND(N(C34)&lt;&gt;0,N(C33)&lt;&gt;0,SIGN(N(C34))&lt;&gt;SIGN(N(C33))),1,0)</f>
        <v>0</v>
      </c>
      <c r="H34" s="21" t="s">
        <v>82</v>
      </c>
      <c r="I34" s="21"/>
    </row>
    <row r="35" customFormat="false" ht="15" hidden="false" customHeight="false" outlineLevel="0" collapsed="false">
      <c r="B35" s="29" t="n">
        <v>21</v>
      </c>
      <c r="C35" s="19"/>
      <c r="D35" s="30" t="str">
        <f aca="false">IF(AND(ISNUMBER(C35),N(Hurdle_Rate)&gt;-1),C35/(1+N(Hurdle_Rate))^B35,"")</f>
        <v/>
      </c>
      <c r="E35" s="30" t="str">
        <f aca="false">IF(AND(ISNUMBER(C35),ISNUMBER(IRR_Result)),C35/(1+IRR_Result)^B35,"")</f>
        <v/>
      </c>
      <c r="F35" s="31" t="n">
        <f aca="false">IF(AND(N(C35)&lt;&gt;0,N(C34)&lt;&gt;0,SIGN(N(C35))&lt;&gt;SIGN(N(C34))),1,0)</f>
        <v>0</v>
      </c>
      <c r="H35" s="21"/>
      <c r="I35" s="21"/>
    </row>
    <row r="36" customFormat="false" ht="15" hidden="false" customHeight="true" outlineLevel="0" collapsed="false">
      <c r="B36" s="29" t="n">
        <v>22</v>
      </c>
      <c r="C36" s="19"/>
      <c r="D36" s="30" t="str">
        <f aca="false">IF(AND(ISNUMBER(C36),N(Hurdle_Rate)&gt;-1),C36/(1+N(Hurdle_Rate))^B36,"")</f>
        <v/>
      </c>
      <c r="E36" s="30" t="str">
        <f aca="false">IF(AND(ISNUMBER(C36),ISNUMBER(IRR_Result)),C36/(1+IRR_Result)^B36,"")</f>
        <v/>
      </c>
      <c r="F36" s="31" t="n">
        <f aca="false">IF(AND(N(C36)&lt;&gt;0,N(C35)&lt;&gt;0,SIGN(N(C36))&lt;&gt;SIGN(N(C35))),1,0)</f>
        <v>0</v>
      </c>
      <c r="H36" s="37" t="s">
        <v>83</v>
      </c>
      <c r="I36" s="37"/>
    </row>
    <row r="37" customFormat="false" ht="15" hidden="false" customHeight="false" outlineLevel="0" collapsed="false">
      <c r="B37" s="29" t="n">
        <v>23</v>
      </c>
      <c r="C37" s="19"/>
      <c r="D37" s="30" t="str">
        <f aca="false">IF(AND(ISNUMBER(C37),N(Hurdle_Rate)&gt;-1),C37/(1+N(Hurdle_Rate))^B37,"")</f>
        <v/>
      </c>
      <c r="E37" s="30" t="str">
        <f aca="false">IF(AND(ISNUMBER(C37),ISNUMBER(IRR_Result)),C37/(1+IRR_Result)^B37,"")</f>
        <v/>
      </c>
      <c r="F37" s="31" t="n">
        <f aca="false">IF(AND(N(C37)&lt;&gt;0,N(C36)&lt;&gt;0,SIGN(N(C37))&lt;&gt;SIGN(N(C36))),1,0)</f>
        <v>0</v>
      </c>
    </row>
    <row r="38" customFormat="false" ht="15" hidden="false" customHeight="false" outlineLevel="0" collapsed="false">
      <c r="B38" s="29" t="n">
        <v>24</v>
      </c>
      <c r="C38" s="19"/>
      <c r="D38" s="30" t="str">
        <f aca="false">IF(AND(ISNUMBER(C38),N(Hurdle_Rate)&gt;-1),C38/(1+N(Hurdle_Rate))^B38,"")</f>
        <v/>
      </c>
      <c r="E38" s="30" t="str">
        <f aca="false">IF(AND(ISNUMBER(C38),ISNUMBER(IRR_Result)),C38/(1+IRR_Result)^B38,"")</f>
        <v/>
      </c>
      <c r="F38" s="31" t="n">
        <f aca="false">IF(AND(N(C38)&lt;&gt;0,N(C37)&lt;&gt;0,SIGN(N(C38))&lt;&gt;SIGN(N(C37))),1,0)</f>
        <v>0</v>
      </c>
    </row>
    <row r="39" customFormat="false" ht="15" hidden="false" customHeight="false" outlineLevel="0" collapsed="false">
      <c r="B39" s="29" t="n">
        <v>25</v>
      </c>
      <c r="C39" s="19"/>
      <c r="D39" s="30" t="str">
        <f aca="false">IF(AND(ISNUMBER(C39),N(Hurdle_Rate)&gt;-1),C39/(1+N(Hurdle_Rate))^B39,"")</f>
        <v/>
      </c>
      <c r="E39" s="30" t="str">
        <f aca="false">IF(AND(ISNUMBER(C39),ISNUMBER(IRR_Result)),C39/(1+IRR_Result)^B39,"")</f>
        <v/>
      </c>
      <c r="F39" s="31" t="n">
        <f aca="false">IF(AND(N(C39)&lt;&gt;0,N(C38)&lt;&gt;0,SIGN(N(C39))&lt;&gt;SIGN(N(C38))),1,0)</f>
        <v>0</v>
      </c>
    </row>
    <row r="40" customFormat="false" ht="15" hidden="false" customHeight="false" outlineLevel="0" collapsed="false">
      <c r="B40" s="29" t="n">
        <v>26</v>
      </c>
      <c r="C40" s="19"/>
      <c r="D40" s="30" t="str">
        <f aca="false">IF(AND(ISNUMBER(C40),N(Hurdle_Rate)&gt;-1),C40/(1+N(Hurdle_Rate))^B40,"")</f>
        <v/>
      </c>
      <c r="E40" s="30" t="str">
        <f aca="false">IF(AND(ISNUMBER(C40),ISNUMBER(IRR_Result)),C40/(1+IRR_Result)^B40,"")</f>
        <v/>
      </c>
      <c r="F40" s="31" t="n">
        <f aca="false">IF(AND(N(C40)&lt;&gt;0,N(C39)&lt;&gt;0,SIGN(N(C40))&lt;&gt;SIGN(N(C39))),1,0)</f>
        <v>0</v>
      </c>
    </row>
    <row r="41" customFormat="false" ht="15" hidden="false" customHeight="false" outlineLevel="0" collapsed="false">
      <c r="B41" s="29" t="n">
        <v>27</v>
      </c>
      <c r="C41" s="19"/>
      <c r="D41" s="30" t="str">
        <f aca="false">IF(AND(ISNUMBER(C41),N(Hurdle_Rate)&gt;-1),C41/(1+N(Hurdle_Rate))^B41,"")</f>
        <v/>
      </c>
      <c r="E41" s="30" t="str">
        <f aca="false">IF(AND(ISNUMBER(C41),ISNUMBER(IRR_Result)),C41/(1+IRR_Result)^B41,"")</f>
        <v/>
      </c>
      <c r="F41" s="31" t="n">
        <f aca="false">IF(AND(N(C41)&lt;&gt;0,N(C40)&lt;&gt;0,SIGN(N(C41))&lt;&gt;SIGN(N(C40))),1,0)</f>
        <v>0</v>
      </c>
    </row>
    <row r="42" customFormat="false" ht="15" hidden="false" customHeight="false" outlineLevel="0" collapsed="false">
      <c r="B42" s="29" t="n">
        <v>28</v>
      </c>
      <c r="C42" s="19"/>
      <c r="D42" s="30" t="str">
        <f aca="false">IF(AND(ISNUMBER(C42),N(Hurdle_Rate)&gt;-1),C42/(1+N(Hurdle_Rate))^B42,"")</f>
        <v/>
      </c>
      <c r="E42" s="30" t="str">
        <f aca="false">IF(AND(ISNUMBER(C42),ISNUMBER(IRR_Result)),C42/(1+IRR_Result)^B42,"")</f>
        <v/>
      </c>
      <c r="F42" s="31" t="n">
        <f aca="false">IF(AND(N(C42)&lt;&gt;0,N(C41)&lt;&gt;0,SIGN(N(C42))&lt;&gt;SIGN(N(C41))),1,0)</f>
        <v>0</v>
      </c>
    </row>
    <row r="43" customFormat="false" ht="15" hidden="false" customHeight="false" outlineLevel="0" collapsed="false">
      <c r="B43" s="29" t="n">
        <v>29</v>
      </c>
      <c r="C43" s="19"/>
      <c r="D43" s="30" t="str">
        <f aca="false">IF(AND(ISNUMBER(C43),N(Hurdle_Rate)&gt;-1),C43/(1+N(Hurdle_Rate))^B43,"")</f>
        <v/>
      </c>
      <c r="E43" s="30" t="str">
        <f aca="false">IF(AND(ISNUMBER(C43),ISNUMBER(IRR_Result)),C43/(1+IRR_Result)^B43,"")</f>
        <v/>
      </c>
      <c r="F43" s="31" t="n">
        <f aca="false">IF(AND(N(C43)&lt;&gt;0,N(C42)&lt;&gt;0,SIGN(N(C43))&lt;&gt;SIGN(N(C42))),1,0)</f>
        <v>0</v>
      </c>
    </row>
    <row r="44" customFormat="false" ht="15" hidden="false" customHeight="false" outlineLevel="0" collapsed="false">
      <c r="B44" s="29" t="n">
        <v>30</v>
      </c>
      <c r="C44" s="19"/>
      <c r="D44" s="30" t="str">
        <f aca="false">IF(AND(ISNUMBER(C44),N(Hurdle_Rate)&gt;-1),C44/(1+N(Hurdle_Rate))^B44,"")</f>
        <v/>
      </c>
      <c r="E44" s="30" t="str">
        <f aca="false">IF(AND(ISNUMBER(C44),ISNUMBER(IRR_Result)),C44/(1+IRR_Result)^B44,"")</f>
        <v/>
      </c>
      <c r="F44" s="31" t="n">
        <f aca="false">IF(AND(N(C44)&lt;&gt;0,N(C43)&lt;&gt;0,SIGN(N(C44))&lt;&gt;SIGN(N(C43))),1,0)</f>
        <v>0</v>
      </c>
    </row>
    <row r="45" customFormat="false" ht="15" hidden="false" customHeight="false" outlineLevel="0" collapsed="false">
      <c r="B45" s="38" t="s">
        <v>84</v>
      </c>
      <c r="C45" s="39" t="n">
        <f aca="false">IF(AND(COUNT(Cash_Flows)&gt;0,N(Initial_Investment)&gt;0),SUM(Cash_Flows),"—")</f>
        <v>75000</v>
      </c>
      <c r="D45" s="39" t="n">
        <f aca="false">IF(AND(AND(COUNT(Cash_Flows)&gt;0,N(Initial_Investment)&gt;0),N(Hurdle_Rate)&gt;-1),SUM(D15:D44),"—")</f>
        <v>56861.8015411267</v>
      </c>
      <c r="E45" s="39" t="n">
        <f aca="false">IF(ISNUMBER(IRR_Result),SUM(E15:E44),"—")</f>
        <v>50000.0000000362</v>
      </c>
      <c r="F45" s="40" t="n">
        <f aca="false">SUM(F15:F44)</f>
        <v>1</v>
      </c>
    </row>
    <row r="46" customFormat="false" ht="27.75" hidden="false" customHeight="true" outlineLevel="0" collapsed="false">
      <c r="B46" s="21" t="s">
        <v>85</v>
      </c>
      <c r="C46" s="21"/>
      <c r="D46" s="21"/>
      <c r="E46" s="21"/>
      <c r="F46" s="21"/>
    </row>
  </sheetData>
  <mergeCells count="11">
    <mergeCell ref="B9:F9"/>
    <mergeCell ref="B11:F11"/>
    <mergeCell ref="H11:I12"/>
    <mergeCell ref="H18:I19"/>
    <mergeCell ref="H22:I27"/>
    <mergeCell ref="H30:I30"/>
    <mergeCell ref="H31:I31"/>
    <mergeCell ref="H32:I32"/>
    <mergeCell ref="H34:I35"/>
    <mergeCell ref="H36:I36"/>
    <mergeCell ref="B46:F46"/>
  </mergeCells>
  <conditionalFormatting sqref="H11">
    <cfRule type="expression" priority="2" aboveAverage="0" equalAverage="0" bottom="0" percent="0" rank="0" text="" dxfId="0">
      <formula>AND(ISNUMBER($H$11),$H$11&lt;0)</formula>
    </cfRule>
    <cfRule type="expression" priority="3" aboveAverage="0" equalAverage="0" bottom="0" percent="0" rank="0" text="" dxfId="0">
      <formula>AND(ISNUMBER($H$11),$H$11&lt;N(Hurdle_Rate))</formula>
    </cfRule>
  </conditionalFormatting>
  <conditionalFormatting sqref="I14">
    <cfRule type="expression" priority="4" aboveAverage="0" equalAverage="0" bottom="0" percent="0" rank="0" text="" dxfId="1">
      <formula>AND(ISNUMBER($I$14),$I$14&lt;0)</formula>
    </cfRule>
  </conditionalFormatting>
  <conditionalFormatting sqref="I15">
    <cfRule type="expression" priority="5" aboveAverage="0" equalAverage="0" bottom="0" percent="0" rank="0" text="" dxfId="1">
      <formula>AND(ISNUMBER($I$15),$I$15&lt;0)</formula>
    </cfRule>
  </conditionalFormatting>
  <conditionalFormatting sqref="I16">
    <cfRule type="expression" priority="6" aboveAverage="0" equalAverage="0" bottom="0" percent="0" rank="0" text="" dxfId="1">
      <formula>AND(ISNUMBER($I$16),$I$16&lt;0)</formula>
    </cfRule>
  </conditionalFormatting>
  <conditionalFormatting sqref="I17">
    <cfRule type="expression" priority="7" aboveAverage="0" equalAverage="0" bottom="0" percent="0" rank="0" text="" dxfId="1">
      <formula>AND(ISNUMBER($I$17),$I$17&lt;0)</formula>
    </cfRule>
  </conditionalFormatting>
  <conditionalFormatting sqref="H30">
    <cfRule type="expression" priority="8" aboveAverage="0" equalAverage="0" bottom="0" percent="0" rank="0" text="" dxfId="2">
      <formula>LEFT(H30,5)="Check"</formula>
    </cfRule>
    <cfRule type="expression" priority="9" aboveAverage="0" equalAverage="0" bottom="0" percent="0" rank="0" text="" dxfId="3">
      <formula>LEFT(H30,2)="OK"</formula>
    </cfRule>
  </conditionalFormatting>
  <conditionalFormatting sqref="H31">
    <cfRule type="expression" priority="10" aboveAverage="0" equalAverage="0" bottom="0" percent="0" rank="0" text="" dxfId="2">
      <formula>LEFT(H31,5)="Check"</formula>
    </cfRule>
    <cfRule type="expression" priority="11" aboveAverage="0" equalAverage="0" bottom="0" percent="0" rank="0" text="" dxfId="3">
      <formula>LEFT(H31,2)="OK"</formula>
    </cfRule>
  </conditionalFormatting>
  <conditionalFormatting sqref="H32">
    <cfRule type="expression" priority="12" aboveAverage="0" equalAverage="0" bottom="0" percent="0" rank="0" text="" dxfId="2">
      <formula>LEFT(H32,5)="Check"</formula>
    </cfRule>
    <cfRule type="expression" priority="13" aboveAverage="0" equalAverage="0" bottom="0" percent="0" rank="0" text="" dxfId="3">
      <formula>LEFT(H32,2)="OK"</formula>
    </cfRule>
  </conditionalFormatting>
  <dataValidations count="3">
    <dataValidation allowBlank="true" error="Enter a number above zero." errorStyle="stop" errorTitle="Initial investment" operator="between" showDropDown="false" showErrorMessage="true" showInputMessage="false" sqref="D8" type="decimal">
      <formula1>-1000000000000000</formula1>
      <formula2>0</formula2>
    </dataValidation>
    <dataValidation allowBlank="true" error="Enter a rate above −100%, for example 10% or 0.10." errorStyle="stop" errorTitle="Hurdle rate" operator="greaterThan" showDropDown="false" showErrorMessage="true" showInputMessage="false" sqref="D10" type="decimal">
      <formula1>-1</formula1>
      <formula2>0</formula2>
    </dataValidation>
    <dataValidation allowBlank="true" error="Enter a number. Use a negative number for a year that costs money." errorStyle="stop" errorTitle="Cash flow" operator="between" showDropDown="false" showErrorMessage="true" showInputMessage="false" sqref="C15:C44"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K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5" topLeftCell="A1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
    <col collapsed="false" customWidth="true" hidden="false" outlineLevel="0" max="4" min="3" style="0" width="18"/>
    <col collapsed="false" customWidth="true" hidden="false" outlineLevel="0" max="5" min="5" style="0" width="20"/>
    <col collapsed="false" customWidth="true" hidden="false" outlineLevel="0" max="6" min="6" style="0" width="18"/>
    <col collapsed="false" customWidth="true" hidden="false" outlineLevel="0" max="7" min="7" style="0" width="20"/>
    <col collapsed="false" customWidth="true" hidden="false" outlineLevel="0" max="8" min="8" style="0" width="4"/>
    <col collapsed="false" customWidth="true" hidden="false" outlineLevel="0" max="9" min="9" style="0" width="10"/>
    <col collapsed="false" customWidth="true" hidden="false" outlineLevel="0" max="10" min="10" style="0" width="16"/>
    <col collapsed="false" customWidth="true" hidden="false" outlineLevel="0" max="11" min="11" style="0" width="3"/>
  </cols>
  <sheetData>
    <row r="1" customFormat="false" ht="7.5" hidden="false" customHeight="true" outlineLevel="0" collapsed="false">
      <c r="A1" s="1"/>
      <c r="B1" s="1"/>
      <c r="C1" s="1"/>
      <c r="D1" s="1"/>
      <c r="E1" s="1"/>
      <c r="F1" s="1"/>
      <c r="G1" s="1"/>
      <c r="H1" s="1"/>
      <c r="I1" s="1"/>
      <c r="J1" s="1"/>
      <c r="K1" s="1"/>
    </row>
    <row r="2" customFormat="false" ht="30" hidden="false" customHeight="true" outlineLevel="0" collapsed="false">
      <c r="A2" s="1"/>
      <c r="B2" s="2" t="s">
        <v>49</v>
      </c>
      <c r="C2" s="1"/>
      <c r="D2" s="1"/>
      <c r="E2" s="1"/>
      <c r="F2" s="1"/>
      <c r="G2" s="1"/>
      <c r="H2" s="1"/>
      <c r="I2" s="1"/>
      <c r="J2" s="1"/>
      <c r="K2" s="1"/>
    </row>
    <row r="3" customFormat="false" ht="19.5" hidden="false" customHeight="true" outlineLevel="0" collapsed="false">
      <c r="A3" s="1"/>
      <c r="B3" s="3" t="s">
        <v>86</v>
      </c>
      <c r="C3" s="1"/>
      <c r="D3" s="1"/>
      <c r="E3" s="1"/>
      <c r="F3" s="1"/>
      <c r="G3" s="1"/>
      <c r="H3" s="1"/>
      <c r="I3" s="1"/>
      <c r="J3" s="1"/>
      <c r="K3" s="1"/>
    </row>
    <row r="4" customFormat="false" ht="7.5" hidden="false" customHeight="true" outlineLevel="0" collapsed="false">
      <c r="A4" s="1"/>
      <c r="B4" s="1"/>
      <c r="C4" s="1"/>
      <c r="D4" s="1"/>
      <c r="E4" s="1"/>
      <c r="F4" s="1"/>
      <c r="G4" s="1"/>
      <c r="H4" s="1"/>
      <c r="I4" s="1"/>
      <c r="J4" s="1"/>
      <c r="K4" s="1"/>
    </row>
    <row r="5" customFormat="false" ht="3" hidden="false" customHeight="true" outlineLevel="0" collapsed="false">
      <c r="A5" s="4"/>
      <c r="B5" s="4"/>
      <c r="C5" s="4"/>
      <c r="D5" s="4"/>
      <c r="E5" s="4"/>
      <c r="F5" s="4"/>
      <c r="G5" s="4"/>
      <c r="H5" s="4"/>
      <c r="I5" s="4"/>
      <c r="J5" s="4"/>
      <c r="K5" s="4"/>
    </row>
    <row r="7" customFormat="false" ht="19.5" hidden="false" customHeight="true" outlineLevel="0" collapsed="false">
      <c r="B7" s="5" t="s">
        <v>87</v>
      </c>
      <c r="C7" s="6"/>
      <c r="D7" s="6"/>
      <c r="E7" s="6"/>
      <c r="F7" s="6"/>
      <c r="G7" s="6"/>
    </row>
    <row r="8" customFormat="false" ht="15" hidden="false" customHeight="false" outlineLevel="0" collapsed="false">
      <c r="B8" s="18" t="s">
        <v>88</v>
      </c>
      <c r="C8" s="41" t="n">
        <f aca="false">-0.999999</f>
        <v>-0.999999</v>
      </c>
    </row>
    <row r="9" customFormat="false" ht="15" hidden="false" customHeight="false" outlineLevel="0" collapsed="false">
      <c r="B9" s="18" t="s">
        <v>89</v>
      </c>
      <c r="C9" s="42" t="n">
        <f aca="false">10</f>
        <v>10</v>
      </c>
    </row>
    <row r="10" customFormat="false" ht="15" hidden="false" customHeight="false" outlineLevel="0" collapsed="false">
      <c r="B10" s="18" t="s">
        <v>90</v>
      </c>
      <c r="C10" s="43" t="n">
        <f aca="false">(SUMPRODUCT(Cash_Flows,(1+C8)^(-Years))-N(Initial_Investment))</f>
        <v>1.50000149978583E+034</v>
      </c>
    </row>
    <row r="11" customFormat="false" ht="15" hidden="false" customHeight="false" outlineLevel="0" collapsed="false">
      <c r="B11" s="18" t="s">
        <v>91</v>
      </c>
      <c r="C11" s="30" t="n">
        <f aca="false">(SUMPRODUCT(Cash_Flows,(1+C9)^(-Years))-N(Initial_Investment))</f>
        <v>-48500.0093138198</v>
      </c>
    </row>
    <row r="12" customFormat="false" ht="27.75" hidden="false" customHeight="true" outlineLevel="0" collapsed="false">
      <c r="B12" s="44" t="s">
        <v>92</v>
      </c>
      <c r="D12" s="45" t="b">
        <f aca="false">AND(AND(COUNT(Cash_Flows)&gt;0,N(Initial_Investment)&gt;0),SIGN(C10)*SIGN(C11)&lt;=0)</f>
        <v>1</v>
      </c>
      <c r="E12" s="21" t="s">
        <v>93</v>
      </c>
      <c r="F12" s="21"/>
      <c r="G12" s="21"/>
    </row>
    <row r="15" customFormat="false" ht="19.5" hidden="false" customHeight="true" outlineLevel="0" collapsed="false">
      <c r="B15" s="25" t="s">
        <v>94</v>
      </c>
      <c r="C15" s="26" t="s">
        <v>88</v>
      </c>
      <c r="D15" s="26" t="s">
        <v>89</v>
      </c>
      <c r="E15" s="26" t="s">
        <v>90</v>
      </c>
      <c r="F15" s="26" t="s">
        <v>95</v>
      </c>
      <c r="G15" s="26" t="s">
        <v>96</v>
      </c>
      <c r="I15" s="25" t="s">
        <v>71</v>
      </c>
      <c r="J15" s="26" t="s">
        <v>97</v>
      </c>
    </row>
    <row r="16" customFormat="false" ht="15" hidden="false" customHeight="false" outlineLevel="0" collapsed="false">
      <c r="B16" s="46" t="n">
        <v>0</v>
      </c>
      <c r="C16" s="47" t="n">
        <f aca="false">C8</f>
        <v>-0.999999</v>
      </c>
      <c r="D16" s="47" t="n">
        <f aca="false">C9</f>
        <v>10</v>
      </c>
      <c r="E16" s="48" t="n">
        <f aca="false">C10</f>
        <v>1.50000149978583E+034</v>
      </c>
      <c r="F16" s="49" t="n">
        <f aca="false">(C16+D16)/2</f>
        <v>4.5000005</v>
      </c>
      <c r="G16" s="50" t="n">
        <f aca="false">(SUMPRODUCT(Cash_Flows,(1+F16)^(-Years))-N(Initial_Investment))</f>
        <v>-46667.3293527403</v>
      </c>
      <c r="I16" s="51" t="n">
        <v>0</v>
      </c>
      <c r="J16" s="52" t="n">
        <f aca="false">-N(Initial_Investment)</f>
        <v>-50000</v>
      </c>
    </row>
    <row r="17" customFormat="false" ht="15" hidden="false" customHeight="false" outlineLevel="0" collapsed="false">
      <c r="B17" s="46" t="n">
        <v>1</v>
      </c>
      <c r="C17" s="47" t="n">
        <f aca="false">IF(SIGN(E16)*SIGN(G16)&lt;=0,C16,F16)</f>
        <v>-0.999999</v>
      </c>
      <c r="D17" s="47" t="n">
        <f aca="false">IF(SIGN(E16)*SIGN(G16)&lt;=0,F16,D16)</f>
        <v>4.5000005</v>
      </c>
      <c r="E17" s="48" t="n">
        <f aca="false">IF(SIGN(E16)*SIGN(G16)&lt;=0,E16,G16)</f>
        <v>1.50000149978583E+034</v>
      </c>
      <c r="F17" s="49" t="n">
        <f aca="false">(C17+D17)/2</f>
        <v>1.75000075</v>
      </c>
      <c r="G17" s="50" t="n">
        <f aca="false">(SUMPRODUCT(Cash_Flows,(1+F17)^(-Years))-N(Initial_Investment))</f>
        <v>-41483.0741559209</v>
      </c>
      <c r="I17" s="51" t="n">
        <v>1</v>
      </c>
      <c r="J17" s="52" t="n">
        <f aca="false">N('IRR Calculator'!C15)</f>
        <v>15000</v>
      </c>
    </row>
    <row r="18" customFormat="false" ht="15" hidden="false" customHeight="false" outlineLevel="0" collapsed="false">
      <c r="B18" s="46" t="n">
        <v>2</v>
      </c>
      <c r="C18" s="47" t="n">
        <f aca="false">IF(SIGN(E17)*SIGN(G17)&lt;=0,C17,F17)</f>
        <v>-0.999999</v>
      </c>
      <c r="D18" s="47" t="n">
        <f aca="false">IF(SIGN(E17)*SIGN(G17)&lt;=0,F17,D17)</f>
        <v>1.75000075</v>
      </c>
      <c r="E18" s="48" t="n">
        <f aca="false">IF(SIGN(E17)*SIGN(G17)&lt;=0,E17,G17)</f>
        <v>1.50000149978583E+034</v>
      </c>
      <c r="F18" s="49" t="n">
        <f aca="false">(C18+D18)/2</f>
        <v>0.375000875</v>
      </c>
      <c r="G18" s="50" t="n">
        <f aca="false">(SUMPRODUCT(Cash_Flows,(1+F18)^(-Years))-N(Initial_Investment))</f>
        <v>-18138.5884135897</v>
      </c>
      <c r="I18" s="51" t="n">
        <v>2</v>
      </c>
      <c r="J18" s="52" t="n">
        <f aca="false">N('IRR Calculator'!C16)</f>
        <v>15000</v>
      </c>
    </row>
    <row r="19" customFormat="false" ht="15" hidden="false" customHeight="false" outlineLevel="0" collapsed="false">
      <c r="B19" s="46" t="n">
        <v>3</v>
      </c>
      <c r="C19" s="47" t="n">
        <f aca="false">IF(SIGN(E18)*SIGN(G18)&lt;=0,C18,F18)</f>
        <v>-0.999999</v>
      </c>
      <c r="D19" s="47" t="n">
        <f aca="false">IF(SIGN(E18)*SIGN(G18)&lt;=0,F18,D18)</f>
        <v>0.375000875</v>
      </c>
      <c r="E19" s="48" t="n">
        <f aca="false">IF(SIGN(E18)*SIGN(G18)&lt;=0,E18,G18)</f>
        <v>1.50000149978583E+034</v>
      </c>
      <c r="F19" s="49" t="n">
        <f aca="false">(C19+D19)/2</f>
        <v>-0.3124990625</v>
      </c>
      <c r="G19" s="50" t="n">
        <f aca="false">(SUMPRODUCT(Cash_Flows,(1+F19)^(-Years))-N(Initial_Investment))</f>
        <v>214518.59742585</v>
      </c>
      <c r="I19" s="51" t="n">
        <v>3</v>
      </c>
      <c r="J19" s="52" t="n">
        <f aca="false">N('IRR Calculator'!C17)</f>
        <v>15000</v>
      </c>
    </row>
    <row r="20" customFormat="false" ht="15" hidden="false" customHeight="false" outlineLevel="0" collapsed="false">
      <c r="B20" s="46" t="n">
        <v>4</v>
      </c>
      <c r="C20" s="47" t="n">
        <f aca="false">IF(SIGN(E19)*SIGN(G19)&lt;=0,C19,F19)</f>
        <v>-0.3124990625</v>
      </c>
      <c r="D20" s="47" t="n">
        <f aca="false">IF(SIGN(E19)*SIGN(G19)&lt;=0,F19,D19)</f>
        <v>0.375000875</v>
      </c>
      <c r="E20" s="48" t="n">
        <f aca="false">IF(SIGN(E19)*SIGN(G19)&lt;=0,E19,G19)</f>
        <v>214518.59742585</v>
      </c>
      <c r="F20" s="49" t="n">
        <f aca="false">(C20+D20)/2</f>
        <v>0.03125090625</v>
      </c>
      <c r="G20" s="50" t="n">
        <f aca="false">(SUMPRODUCT(Cash_Flows,(1+F20)^(-Years))-N(Initial_Investment))</f>
        <v>18450.9380647949</v>
      </c>
      <c r="I20" s="51" t="n">
        <v>4</v>
      </c>
      <c r="J20" s="52" t="n">
        <f aca="false">N('IRR Calculator'!C18)</f>
        <v>15000</v>
      </c>
    </row>
    <row r="21" customFormat="false" ht="15" hidden="false" customHeight="false" outlineLevel="0" collapsed="false">
      <c r="B21" s="46" t="n">
        <v>5</v>
      </c>
      <c r="C21" s="47" t="n">
        <f aca="false">IF(SIGN(E20)*SIGN(G20)&lt;=0,C20,F20)</f>
        <v>0.03125090625</v>
      </c>
      <c r="D21" s="47" t="n">
        <f aca="false">IF(SIGN(E20)*SIGN(G20)&lt;=0,F20,D20)</f>
        <v>0.375000875</v>
      </c>
      <c r="E21" s="48" t="n">
        <f aca="false">IF(SIGN(E20)*SIGN(G20)&lt;=0,E20,G20)</f>
        <v>18450.9380647949</v>
      </c>
      <c r="F21" s="49" t="n">
        <f aca="false">(C21+D21)/2</f>
        <v>0.203125890625</v>
      </c>
      <c r="G21" s="50" t="n">
        <f aca="false">(SUMPRODUCT(Cash_Flows,(1+F21)^(-Years))-N(Initial_Investment))</f>
        <v>-5447.62600558855</v>
      </c>
      <c r="I21" s="51" t="n">
        <v>5</v>
      </c>
      <c r="J21" s="52" t="n">
        <f aca="false">N('IRR Calculator'!C19)</f>
        <v>15000</v>
      </c>
    </row>
    <row r="22" customFormat="false" ht="15" hidden="false" customHeight="false" outlineLevel="0" collapsed="false">
      <c r="B22" s="46" t="n">
        <v>6</v>
      </c>
      <c r="C22" s="47" t="n">
        <f aca="false">IF(SIGN(E21)*SIGN(G21)&lt;=0,C21,F21)</f>
        <v>0.03125090625</v>
      </c>
      <c r="D22" s="47" t="n">
        <f aca="false">IF(SIGN(E21)*SIGN(G21)&lt;=0,F21,D21)</f>
        <v>0.203125890625</v>
      </c>
      <c r="E22" s="48" t="n">
        <f aca="false">IF(SIGN(E21)*SIGN(G21)&lt;=0,E21,G21)</f>
        <v>18450.9380647949</v>
      </c>
      <c r="F22" s="49" t="n">
        <f aca="false">(C22+D22)/2</f>
        <v>0.1171883984375</v>
      </c>
      <c r="G22" s="50" t="n">
        <f aca="false">(SUMPRODUCT(Cash_Flows,(1+F22)^(-Years))-N(Initial_Investment))</f>
        <v>4450.39422608045</v>
      </c>
      <c r="I22" s="51" t="n">
        <v>6</v>
      </c>
      <c r="J22" s="52" t="n">
        <f aca="false">N('IRR Calculator'!C20)</f>
        <v>0</v>
      </c>
    </row>
    <row r="23" customFormat="false" ht="15" hidden="false" customHeight="false" outlineLevel="0" collapsed="false">
      <c r="B23" s="46" t="n">
        <v>7</v>
      </c>
      <c r="C23" s="47" t="n">
        <f aca="false">IF(SIGN(E22)*SIGN(G22)&lt;=0,C22,F22)</f>
        <v>0.1171883984375</v>
      </c>
      <c r="D23" s="47" t="n">
        <f aca="false">IF(SIGN(E22)*SIGN(G22)&lt;=0,F22,D22)</f>
        <v>0.203125890625</v>
      </c>
      <c r="E23" s="48" t="n">
        <f aca="false">IF(SIGN(E22)*SIGN(G22)&lt;=0,E22,G22)</f>
        <v>4450.39422608045</v>
      </c>
      <c r="F23" s="49" t="n">
        <f aca="false">(C23+D23)/2</f>
        <v>0.16015714453125</v>
      </c>
      <c r="G23" s="50" t="n">
        <f aca="false">(SUMPRODUCT(Cash_Flows,(1+F23)^(-Years))-N(Initial_Investment))</f>
        <v>-903.593885001479</v>
      </c>
      <c r="I23" s="51" t="n">
        <v>7</v>
      </c>
      <c r="J23" s="52" t="n">
        <f aca="false">N('IRR Calculator'!C21)</f>
        <v>0</v>
      </c>
    </row>
    <row r="24" customFormat="false" ht="15" hidden="false" customHeight="false" outlineLevel="0" collapsed="false">
      <c r="B24" s="46" t="n">
        <v>8</v>
      </c>
      <c r="C24" s="47" t="n">
        <f aca="false">IF(SIGN(E23)*SIGN(G23)&lt;=0,C23,F23)</f>
        <v>0.1171883984375</v>
      </c>
      <c r="D24" s="47" t="n">
        <f aca="false">IF(SIGN(E23)*SIGN(G23)&lt;=0,F23,D23)</f>
        <v>0.16015714453125</v>
      </c>
      <c r="E24" s="48" t="n">
        <f aca="false">IF(SIGN(E23)*SIGN(G23)&lt;=0,E23,G23)</f>
        <v>4450.39422608045</v>
      </c>
      <c r="F24" s="49" t="n">
        <f aca="false">(C24+D24)/2</f>
        <v>0.138672771484375</v>
      </c>
      <c r="G24" s="50" t="n">
        <f aca="false">(SUMPRODUCT(Cash_Flows,(1+F24)^(-Years))-N(Initial_Investment))</f>
        <v>1660.90698894415</v>
      </c>
      <c r="I24" s="51" t="n">
        <v>8</v>
      </c>
      <c r="J24" s="52" t="n">
        <f aca="false">N('IRR Calculator'!C22)</f>
        <v>0</v>
      </c>
    </row>
    <row r="25" customFormat="false" ht="15" hidden="false" customHeight="false" outlineLevel="0" collapsed="false">
      <c r="B25" s="46" t="n">
        <v>9</v>
      </c>
      <c r="C25" s="47" t="n">
        <f aca="false">IF(SIGN(E24)*SIGN(G24)&lt;=0,C24,F24)</f>
        <v>0.138672771484375</v>
      </c>
      <c r="D25" s="47" t="n">
        <f aca="false">IF(SIGN(E24)*SIGN(G24)&lt;=0,F24,D24)</f>
        <v>0.16015714453125</v>
      </c>
      <c r="E25" s="48" t="n">
        <f aca="false">IF(SIGN(E24)*SIGN(G24)&lt;=0,E24,G24)</f>
        <v>1660.90698894415</v>
      </c>
      <c r="F25" s="49" t="n">
        <f aca="false">(C25+D25)/2</f>
        <v>0.149414958007812</v>
      </c>
      <c r="G25" s="50" t="n">
        <f aca="false">(SUMPRODUCT(Cash_Flows,(1+F25)^(-Years))-N(Initial_Investment))</f>
        <v>352.055443728765</v>
      </c>
      <c r="I25" s="51" t="n">
        <v>9</v>
      </c>
      <c r="J25" s="52" t="n">
        <f aca="false">N('IRR Calculator'!C23)</f>
        <v>0</v>
      </c>
    </row>
    <row r="26" customFormat="false" ht="15" hidden="false" customHeight="false" outlineLevel="0" collapsed="false">
      <c r="B26" s="46" t="n">
        <v>10</v>
      </c>
      <c r="C26" s="47" t="n">
        <f aca="false">IF(SIGN(E25)*SIGN(G25)&lt;=0,C25,F25)</f>
        <v>0.149414958007812</v>
      </c>
      <c r="D26" s="47" t="n">
        <f aca="false">IF(SIGN(E25)*SIGN(G25)&lt;=0,F25,D25)</f>
        <v>0.16015714453125</v>
      </c>
      <c r="E26" s="48" t="n">
        <f aca="false">IF(SIGN(E25)*SIGN(G25)&lt;=0,E25,G25)</f>
        <v>352.055443728765</v>
      </c>
      <c r="F26" s="49" t="n">
        <f aca="false">(C26+D26)/2</f>
        <v>0.154786051269531</v>
      </c>
      <c r="G26" s="50" t="n">
        <f aca="false">(SUMPRODUCT(Cash_Flows,(1+F26)^(-Years))-N(Initial_Investment))</f>
        <v>-282.240080873627</v>
      </c>
      <c r="I26" s="51" t="n">
        <v>10</v>
      </c>
      <c r="J26" s="52" t="n">
        <f aca="false">N('IRR Calculator'!C24)</f>
        <v>0</v>
      </c>
    </row>
    <row r="27" customFormat="false" ht="15" hidden="false" customHeight="false" outlineLevel="0" collapsed="false">
      <c r="B27" s="46" t="n">
        <v>11</v>
      </c>
      <c r="C27" s="47" t="n">
        <f aca="false">IF(SIGN(E26)*SIGN(G26)&lt;=0,C26,F26)</f>
        <v>0.149414958007812</v>
      </c>
      <c r="D27" s="47" t="n">
        <f aca="false">IF(SIGN(E26)*SIGN(G26)&lt;=0,F26,D26)</f>
        <v>0.154786051269531</v>
      </c>
      <c r="E27" s="48" t="n">
        <f aca="false">IF(SIGN(E26)*SIGN(G26)&lt;=0,E26,G26)</f>
        <v>352.055443728765</v>
      </c>
      <c r="F27" s="49" t="n">
        <f aca="false">(C27+D27)/2</f>
        <v>0.152100504638672</v>
      </c>
      <c r="G27" s="50" t="n">
        <f aca="false">(SUMPRODUCT(Cash_Flows,(1+F27)^(-Years))-N(Initial_Investment))</f>
        <v>33.2679998907333</v>
      </c>
      <c r="I27" s="51" t="n">
        <v>11</v>
      </c>
      <c r="J27" s="52" t="n">
        <f aca="false">N('IRR Calculator'!C25)</f>
        <v>0</v>
      </c>
    </row>
    <row r="28" customFormat="false" ht="15" hidden="false" customHeight="false" outlineLevel="0" collapsed="false">
      <c r="B28" s="46" t="n">
        <v>12</v>
      </c>
      <c r="C28" s="47" t="n">
        <f aca="false">IF(SIGN(E27)*SIGN(G27)&lt;=0,C27,F27)</f>
        <v>0.152100504638672</v>
      </c>
      <c r="D28" s="47" t="n">
        <f aca="false">IF(SIGN(E27)*SIGN(G27)&lt;=0,F27,D27)</f>
        <v>0.154786051269531</v>
      </c>
      <c r="E28" s="48" t="n">
        <f aca="false">IF(SIGN(E27)*SIGN(G27)&lt;=0,E27,G27)</f>
        <v>33.2679998907333</v>
      </c>
      <c r="F28" s="49" t="n">
        <f aca="false">(C28+D28)/2</f>
        <v>0.153443277954102</v>
      </c>
      <c r="G28" s="50" t="n">
        <f aca="false">(SUMPRODUCT(Cash_Flows,(1+F28)^(-Years))-N(Initial_Investment))</f>
        <v>-124.893186881665</v>
      </c>
      <c r="I28" s="51" t="n">
        <v>12</v>
      </c>
      <c r="J28" s="52" t="n">
        <f aca="false">N('IRR Calculator'!C26)</f>
        <v>0</v>
      </c>
    </row>
    <row r="29" customFormat="false" ht="15" hidden="false" customHeight="false" outlineLevel="0" collapsed="false">
      <c r="B29" s="46" t="n">
        <v>13</v>
      </c>
      <c r="C29" s="47" t="n">
        <f aca="false">IF(SIGN(E28)*SIGN(G28)&lt;=0,C28,F28)</f>
        <v>0.152100504638672</v>
      </c>
      <c r="D29" s="47" t="n">
        <f aca="false">IF(SIGN(E28)*SIGN(G28)&lt;=0,F28,D28)</f>
        <v>0.153443277954102</v>
      </c>
      <c r="E29" s="48" t="n">
        <f aca="false">IF(SIGN(E28)*SIGN(G28)&lt;=0,E28,G28)</f>
        <v>33.2679998907333</v>
      </c>
      <c r="F29" s="49" t="n">
        <f aca="false">(C29+D29)/2</f>
        <v>0.152771891296387</v>
      </c>
      <c r="G29" s="50" t="n">
        <f aca="false">(SUMPRODUCT(Cash_Flows,(1+F29)^(-Years))-N(Initial_Investment))</f>
        <v>-45.9147250622118</v>
      </c>
      <c r="I29" s="51" t="n">
        <v>13</v>
      </c>
      <c r="J29" s="52" t="n">
        <f aca="false">N('IRR Calculator'!C27)</f>
        <v>0</v>
      </c>
    </row>
    <row r="30" customFormat="false" ht="15" hidden="false" customHeight="false" outlineLevel="0" collapsed="false">
      <c r="B30" s="46" t="n">
        <v>14</v>
      </c>
      <c r="C30" s="47" t="n">
        <f aca="false">IF(SIGN(E29)*SIGN(G29)&lt;=0,C29,F29)</f>
        <v>0.152100504638672</v>
      </c>
      <c r="D30" s="47" t="n">
        <f aca="false">IF(SIGN(E29)*SIGN(G29)&lt;=0,F29,D29)</f>
        <v>0.152771891296387</v>
      </c>
      <c r="E30" s="48" t="n">
        <f aca="false">IF(SIGN(E29)*SIGN(G29)&lt;=0,E29,G29)</f>
        <v>33.2679998907333</v>
      </c>
      <c r="F30" s="49" t="n">
        <f aca="false">(C30+D30)/2</f>
        <v>0.152436197967529</v>
      </c>
      <c r="G30" s="50" t="n">
        <f aca="false">(SUMPRODUCT(Cash_Flows,(1+F30)^(-Years))-N(Initial_Investment))</f>
        <v>-6.34893875366106</v>
      </c>
      <c r="I30" s="51" t="n">
        <v>14</v>
      </c>
      <c r="J30" s="52" t="n">
        <f aca="false">N('IRR Calculator'!C28)</f>
        <v>0</v>
      </c>
    </row>
    <row r="31" customFormat="false" ht="15" hidden="false" customHeight="false" outlineLevel="0" collapsed="false">
      <c r="B31" s="46" t="n">
        <v>15</v>
      </c>
      <c r="C31" s="47" t="n">
        <f aca="false">IF(SIGN(E30)*SIGN(G30)&lt;=0,C30,F30)</f>
        <v>0.152100504638672</v>
      </c>
      <c r="D31" s="47" t="n">
        <f aca="false">IF(SIGN(E30)*SIGN(G30)&lt;=0,F30,D30)</f>
        <v>0.152436197967529</v>
      </c>
      <c r="E31" s="48" t="n">
        <f aca="false">IF(SIGN(E30)*SIGN(G30)&lt;=0,E30,G30)</f>
        <v>33.2679998907333</v>
      </c>
      <c r="F31" s="49" t="n">
        <f aca="false">(C31+D31)/2</f>
        <v>0.152268351303101</v>
      </c>
      <c r="G31" s="50" t="n">
        <f aca="false">(SUMPRODUCT(Cash_Flows,(1+F31)^(-Years))-N(Initial_Investment))</f>
        <v>13.453131107286</v>
      </c>
      <c r="I31" s="51" t="n">
        <v>15</v>
      </c>
      <c r="J31" s="52" t="n">
        <f aca="false">N('IRR Calculator'!C29)</f>
        <v>0</v>
      </c>
    </row>
    <row r="32" customFormat="false" ht="15" hidden="false" customHeight="false" outlineLevel="0" collapsed="false">
      <c r="B32" s="46" t="n">
        <v>16</v>
      </c>
      <c r="C32" s="47" t="n">
        <f aca="false">IF(SIGN(E31)*SIGN(G31)&lt;=0,C31,F31)</f>
        <v>0.152268351303101</v>
      </c>
      <c r="D32" s="47" t="n">
        <f aca="false">IF(SIGN(E31)*SIGN(G31)&lt;=0,F31,D31)</f>
        <v>0.152436197967529</v>
      </c>
      <c r="E32" s="48" t="n">
        <f aca="false">IF(SIGN(E31)*SIGN(G31)&lt;=0,E31,G31)</f>
        <v>13.453131107286</v>
      </c>
      <c r="F32" s="49" t="n">
        <f aca="false">(C32+D32)/2</f>
        <v>0.152352274635315</v>
      </c>
      <c r="G32" s="50" t="n">
        <f aca="false">(SUMPRODUCT(Cash_Flows,(1+F32)^(-Years))-N(Initial_Investment))</f>
        <v>3.55049698934454</v>
      </c>
      <c r="I32" s="51" t="n">
        <v>16</v>
      </c>
      <c r="J32" s="52" t="n">
        <f aca="false">N('IRR Calculator'!C30)</f>
        <v>0</v>
      </c>
    </row>
    <row r="33" customFormat="false" ht="15" hidden="false" customHeight="false" outlineLevel="0" collapsed="false">
      <c r="B33" s="46" t="n">
        <v>17</v>
      </c>
      <c r="C33" s="47" t="n">
        <f aca="false">IF(SIGN(E32)*SIGN(G32)&lt;=0,C32,F32)</f>
        <v>0.152352274635315</v>
      </c>
      <c r="D33" s="47" t="n">
        <f aca="false">IF(SIGN(E32)*SIGN(G32)&lt;=0,F32,D32)</f>
        <v>0.152436197967529</v>
      </c>
      <c r="E33" s="48" t="n">
        <f aca="false">IF(SIGN(E32)*SIGN(G32)&lt;=0,E32,G32)</f>
        <v>3.55049698934454</v>
      </c>
      <c r="F33" s="49" t="n">
        <f aca="false">(C33+D33)/2</f>
        <v>0.152394236301422</v>
      </c>
      <c r="G33" s="50" t="n">
        <f aca="false">(SUMPRODUCT(Cash_Flows,(1+F33)^(-Years))-N(Initial_Investment))</f>
        <v>-1.39962059432582</v>
      </c>
      <c r="I33" s="51" t="n">
        <v>17</v>
      </c>
      <c r="J33" s="52" t="n">
        <f aca="false">N('IRR Calculator'!C31)</f>
        <v>0</v>
      </c>
    </row>
    <row r="34" customFormat="false" ht="15" hidden="false" customHeight="false" outlineLevel="0" collapsed="false">
      <c r="B34" s="46" t="n">
        <v>18</v>
      </c>
      <c r="C34" s="47" t="n">
        <f aca="false">IF(SIGN(E33)*SIGN(G33)&lt;=0,C33,F33)</f>
        <v>0.152352274635315</v>
      </c>
      <c r="D34" s="47" t="n">
        <f aca="false">IF(SIGN(E33)*SIGN(G33)&lt;=0,F33,D33)</f>
        <v>0.152394236301422</v>
      </c>
      <c r="E34" s="48" t="n">
        <f aca="false">IF(SIGN(E33)*SIGN(G33)&lt;=0,E33,G33)</f>
        <v>3.55049698934454</v>
      </c>
      <c r="F34" s="49" t="n">
        <f aca="false">(C34+D34)/2</f>
        <v>0.152373255468369</v>
      </c>
      <c r="G34" s="50" t="n">
        <f aca="false">(SUMPRODUCT(Cash_Flows,(1+F34)^(-Years))-N(Initial_Investment))</f>
        <v>1.07533825888095</v>
      </c>
      <c r="I34" s="51" t="n">
        <v>18</v>
      </c>
      <c r="J34" s="52" t="n">
        <f aca="false">N('IRR Calculator'!C32)</f>
        <v>0</v>
      </c>
    </row>
    <row r="35" customFormat="false" ht="15" hidden="false" customHeight="false" outlineLevel="0" collapsed="false">
      <c r="B35" s="46" t="n">
        <v>19</v>
      </c>
      <c r="C35" s="47" t="n">
        <f aca="false">IF(SIGN(E34)*SIGN(G34)&lt;=0,C34,F34)</f>
        <v>0.152373255468369</v>
      </c>
      <c r="D35" s="47" t="n">
        <f aca="false">IF(SIGN(E34)*SIGN(G34)&lt;=0,F34,D34)</f>
        <v>0.152394236301422</v>
      </c>
      <c r="E35" s="48" t="n">
        <f aca="false">IF(SIGN(E34)*SIGN(G34)&lt;=0,E34,G34)</f>
        <v>1.07533825888095</v>
      </c>
      <c r="F35" s="49" t="n">
        <f aca="false">(C35+D35)/2</f>
        <v>0.152383745884895</v>
      </c>
      <c r="G35" s="50" t="n">
        <f aca="false">(SUMPRODUCT(Cash_Flows,(1+F35)^(-Years))-N(Initial_Investment))</f>
        <v>-0.162166151058045</v>
      </c>
      <c r="I35" s="51" t="n">
        <v>19</v>
      </c>
      <c r="J35" s="52" t="n">
        <f aca="false">N('IRR Calculator'!C33)</f>
        <v>0</v>
      </c>
    </row>
    <row r="36" customFormat="false" ht="15" hidden="false" customHeight="false" outlineLevel="0" collapsed="false">
      <c r="B36" s="46" t="n">
        <v>20</v>
      </c>
      <c r="C36" s="47" t="n">
        <f aca="false">IF(SIGN(E35)*SIGN(G35)&lt;=0,C35,F35)</f>
        <v>0.152373255468369</v>
      </c>
      <c r="D36" s="47" t="n">
        <f aca="false">IF(SIGN(E35)*SIGN(G35)&lt;=0,F35,D35)</f>
        <v>0.152383745884895</v>
      </c>
      <c r="E36" s="48" t="n">
        <f aca="false">IF(SIGN(E35)*SIGN(G35)&lt;=0,E35,G35)</f>
        <v>1.07533825888095</v>
      </c>
      <c r="F36" s="49" t="n">
        <f aca="false">(C36+D36)/2</f>
        <v>0.152378500676632</v>
      </c>
      <c r="G36" s="50" t="n">
        <f aca="false">(SUMPRODUCT(Cash_Flows,(1+F36)^(-Years))-N(Initial_Investment))</f>
        <v>0.456579807927483</v>
      </c>
      <c r="I36" s="51" t="n">
        <v>20</v>
      </c>
      <c r="J36" s="52" t="n">
        <f aca="false">N('IRR Calculator'!C34)</f>
        <v>0</v>
      </c>
    </row>
    <row r="37" customFormat="false" ht="15" hidden="false" customHeight="false" outlineLevel="0" collapsed="false">
      <c r="B37" s="46" t="n">
        <v>21</v>
      </c>
      <c r="C37" s="47" t="n">
        <f aca="false">IF(SIGN(E36)*SIGN(G36)&lt;=0,C36,F36)</f>
        <v>0.152378500676632</v>
      </c>
      <c r="D37" s="47" t="n">
        <f aca="false">IF(SIGN(E36)*SIGN(G36)&lt;=0,F36,D36)</f>
        <v>0.152383745884895</v>
      </c>
      <c r="E37" s="48" t="n">
        <f aca="false">IF(SIGN(E36)*SIGN(G36)&lt;=0,E36,G36)</f>
        <v>0.456579807927483</v>
      </c>
      <c r="F37" s="49" t="n">
        <f aca="false">(C37+D37)/2</f>
        <v>0.152381123280764</v>
      </c>
      <c r="G37" s="50" t="n">
        <f aca="false">(SUMPRODUCT(Cash_Flows,(1+F37)^(-Years))-N(Initial_Investment))</f>
        <v>0.147205266970559</v>
      </c>
      <c r="I37" s="51" t="n">
        <v>21</v>
      </c>
      <c r="J37" s="52" t="n">
        <f aca="false">N('IRR Calculator'!C35)</f>
        <v>0</v>
      </c>
    </row>
    <row r="38" customFormat="false" ht="15" hidden="false" customHeight="false" outlineLevel="0" collapsed="false">
      <c r="B38" s="46" t="n">
        <v>22</v>
      </c>
      <c r="C38" s="47" t="n">
        <f aca="false">IF(SIGN(E37)*SIGN(G37)&lt;=0,C37,F37)</f>
        <v>0.152381123280764</v>
      </c>
      <c r="D38" s="47" t="n">
        <f aca="false">IF(SIGN(E37)*SIGN(G37)&lt;=0,F37,D37)</f>
        <v>0.152383745884895</v>
      </c>
      <c r="E38" s="48" t="n">
        <f aca="false">IF(SIGN(E37)*SIGN(G37)&lt;=0,E37,G37)</f>
        <v>0.147205266970559</v>
      </c>
      <c r="F38" s="49" t="n">
        <f aca="false">(C38+D38)/2</f>
        <v>0.152382434582829</v>
      </c>
      <c r="G38" s="50" t="n">
        <f aca="false">(SUMPRODUCT(Cash_Flows,(1+F38)^(-Years))-N(Initial_Investment))</f>
        <v>-0.00748083242797293</v>
      </c>
      <c r="I38" s="51" t="n">
        <v>22</v>
      </c>
      <c r="J38" s="52" t="n">
        <f aca="false">N('IRR Calculator'!C36)</f>
        <v>0</v>
      </c>
    </row>
    <row r="39" customFormat="false" ht="15" hidden="false" customHeight="false" outlineLevel="0" collapsed="false">
      <c r="B39" s="46" t="n">
        <v>23</v>
      </c>
      <c r="C39" s="47" t="n">
        <f aca="false">IF(SIGN(E38)*SIGN(G38)&lt;=0,C38,F38)</f>
        <v>0.152381123280764</v>
      </c>
      <c r="D39" s="47" t="n">
        <f aca="false">IF(SIGN(E38)*SIGN(G38)&lt;=0,F38,D38)</f>
        <v>0.152382434582829</v>
      </c>
      <c r="E39" s="48" t="n">
        <f aca="false">IF(SIGN(E38)*SIGN(G38)&lt;=0,E38,G38)</f>
        <v>0.147205266970559</v>
      </c>
      <c r="F39" s="49" t="n">
        <f aca="false">(C39+D39)/2</f>
        <v>0.152381778931797</v>
      </c>
      <c r="G39" s="50" t="n">
        <f aca="false">(SUMPRODUCT(Cash_Flows,(1+F39)^(-Years))-N(Initial_Investment))</f>
        <v>0.0698621196788736</v>
      </c>
      <c r="I39" s="51" t="n">
        <v>23</v>
      </c>
      <c r="J39" s="52" t="n">
        <f aca="false">N('IRR Calculator'!C37)</f>
        <v>0</v>
      </c>
    </row>
    <row r="40" customFormat="false" ht="15" hidden="false" customHeight="false" outlineLevel="0" collapsed="false">
      <c r="B40" s="46" t="n">
        <v>24</v>
      </c>
      <c r="C40" s="47" t="n">
        <f aca="false">IF(SIGN(E39)*SIGN(G39)&lt;=0,C39,F39)</f>
        <v>0.152381778931797</v>
      </c>
      <c r="D40" s="47" t="n">
        <f aca="false">IF(SIGN(E39)*SIGN(G39)&lt;=0,F39,D39)</f>
        <v>0.152382434582829</v>
      </c>
      <c r="E40" s="48" t="n">
        <f aca="false">IF(SIGN(E39)*SIGN(G39)&lt;=0,E39,G39)</f>
        <v>0.0698621196788736</v>
      </c>
      <c r="F40" s="49" t="n">
        <f aca="false">(C40+D40)/2</f>
        <v>0.152382106757313</v>
      </c>
      <c r="G40" s="50" t="n">
        <f aca="false">(SUMPRODUCT(Cash_Flows,(1+F40)^(-Years))-N(Initial_Investment))</f>
        <v>0.0311906192291644</v>
      </c>
      <c r="I40" s="51" t="n">
        <v>24</v>
      </c>
      <c r="J40" s="52" t="n">
        <f aca="false">N('IRR Calculator'!C38)</f>
        <v>0</v>
      </c>
    </row>
    <row r="41" customFormat="false" ht="15" hidden="false" customHeight="false" outlineLevel="0" collapsed="false">
      <c r="B41" s="46" t="n">
        <v>25</v>
      </c>
      <c r="C41" s="47" t="n">
        <f aca="false">IF(SIGN(E40)*SIGN(G40)&lt;=0,C40,F40)</f>
        <v>0.152382106757313</v>
      </c>
      <c r="D41" s="47" t="n">
        <f aca="false">IF(SIGN(E40)*SIGN(G40)&lt;=0,F40,D40)</f>
        <v>0.152382434582829</v>
      </c>
      <c r="E41" s="48" t="n">
        <f aca="false">IF(SIGN(E40)*SIGN(G40)&lt;=0,E40,G40)</f>
        <v>0.0311906192291644</v>
      </c>
      <c r="F41" s="49" t="n">
        <f aca="false">(C41+D41)/2</f>
        <v>0.152382270670071</v>
      </c>
      <c r="G41" s="50" t="n">
        <f aca="false">(SUMPRODUCT(Cash_Flows,(1+F41)^(-Years))-N(Initial_Investment))</f>
        <v>0.0118548872997053</v>
      </c>
      <c r="I41" s="51" t="n">
        <v>25</v>
      </c>
      <c r="J41" s="52" t="n">
        <f aca="false">N('IRR Calculator'!C39)</f>
        <v>0</v>
      </c>
    </row>
    <row r="42" customFormat="false" ht="15" hidden="false" customHeight="false" outlineLevel="0" collapsed="false">
      <c r="B42" s="46" t="n">
        <v>26</v>
      </c>
      <c r="C42" s="47" t="n">
        <f aca="false">IF(SIGN(E41)*SIGN(G41)&lt;=0,C41,F41)</f>
        <v>0.152382270670071</v>
      </c>
      <c r="D42" s="47" t="n">
        <f aca="false">IF(SIGN(E41)*SIGN(G41)&lt;=0,F41,D41)</f>
        <v>0.152382434582829</v>
      </c>
      <c r="E42" s="48" t="n">
        <f aca="false">IF(SIGN(E41)*SIGN(G41)&lt;=0,E41,G41)</f>
        <v>0.0118548872997053</v>
      </c>
      <c r="F42" s="49" t="n">
        <f aca="false">(C42+D42)/2</f>
        <v>0.15238235262645</v>
      </c>
      <c r="G42" s="50" t="n">
        <f aca="false">(SUMPRODUCT(Cash_Flows,(1+F42)^(-Years))-N(Initial_Investment))</f>
        <v>0.002187025922467</v>
      </c>
      <c r="I42" s="51" t="n">
        <v>26</v>
      </c>
      <c r="J42" s="52" t="n">
        <f aca="false">N('IRR Calculator'!C40)</f>
        <v>0</v>
      </c>
    </row>
    <row r="43" customFormat="false" ht="15" hidden="false" customHeight="false" outlineLevel="0" collapsed="false">
      <c r="B43" s="46" t="n">
        <v>27</v>
      </c>
      <c r="C43" s="47" t="n">
        <f aca="false">IF(SIGN(E42)*SIGN(G42)&lt;=0,C42,F42)</f>
        <v>0.15238235262645</v>
      </c>
      <c r="D43" s="47" t="n">
        <f aca="false">IF(SIGN(E42)*SIGN(G42)&lt;=0,F42,D42)</f>
        <v>0.152382434582829</v>
      </c>
      <c r="E43" s="48" t="n">
        <f aca="false">IF(SIGN(E42)*SIGN(G42)&lt;=0,E42,G42)</f>
        <v>0.002187025922467</v>
      </c>
      <c r="F43" s="49" t="n">
        <f aca="false">(C43+D43)/2</f>
        <v>0.15238239360464</v>
      </c>
      <c r="G43" s="50" t="n">
        <f aca="false">(SUMPRODUCT(Cash_Flows,(1+F43)^(-Years))-N(Initial_Investment))</f>
        <v>-0.0026469036238268</v>
      </c>
      <c r="I43" s="51" t="n">
        <v>27</v>
      </c>
      <c r="J43" s="52" t="n">
        <f aca="false">N('IRR Calculator'!C41)</f>
        <v>0</v>
      </c>
    </row>
    <row r="44" customFormat="false" ht="15" hidden="false" customHeight="false" outlineLevel="0" collapsed="false">
      <c r="B44" s="46" t="n">
        <v>28</v>
      </c>
      <c r="C44" s="47" t="n">
        <f aca="false">IF(SIGN(E43)*SIGN(G43)&lt;=0,C43,F43)</f>
        <v>0.15238235262645</v>
      </c>
      <c r="D44" s="47" t="n">
        <f aca="false">IF(SIGN(E43)*SIGN(G43)&lt;=0,F43,D43)</f>
        <v>0.15238239360464</v>
      </c>
      <c r="E44" s="48" t="n">
        <f aca="false">IF(SIGN(E43)*SIGN(G43)&lt;=0,E43,G43)</f>
        <v>0.002187025922467</v>
      </c>
      <c r="F44" s="49" t="n">
        <f aca="false">(C44+D44)/2</f>
        <v>0.152382373115545</v>
      </c>
      <c r="G44" s="50" t="n">
        <f aca="false">(SUMPRODUCT(Cash_Flows,(1+F44)^(-Years))-N(Initial_Investment))</f>
        <v>-0.000229938952543307</v>
      </c>
      <c r="I44" s="51" t="n">
        <v>28</v>
      </c>
      <c r="J44" s="52" t="n">
        <f aca="false">N('IRR Calculator'!C42)</f>
        <v>0</v>
      </c>
    </row>
    <row r="45" customFormat="false" ht="15" hidden="false" customHeight="false" outlineLevel="0" collapsed="false">
      <c r="B45" s="46" t="n">
        <v>29</v>
      </c>
      <c r="C45" s="47" t="n">
        <f aca="false">IF(SIGN(E44)*SIGN(G44)&lt;=0,C44,F44)</f>
        <v>0.15238235262645</v>
      </c>
      <c r="D45" s="47" t="n">
        <f aca="false">IF(SIGN(E44)*SIGN(G44)&lt;=0,F44,D44)</f>
        <v>0.152382373115545</v>
      </c>
      <c r="E45" s="48" t="n">
        <f aca="false">IF(SIGN(E44)*SIGN(G44)&lt;=0,E44,G44)</f>
        <v>0.002187025922467</v>
      </c>
      <c r="F45" s="49" t="n">
        <f aca="false">(C45+D45)/2</f>
        <v>0.152382362870998</v>
      </c>
      <c r="G45" s="50" t="n">
        <f aca="false">(SUMPRODUCT(Cash_Flows,(1+F45)^(-Years))-N(Initial_Investment))</f>
        <v>0.000978543459495995</v>
      </c>
      <c r="I45" s="51" t="n">
        <v>29</v>
      </c>
      <c r="J45" s="52" t="n">
        <f aca="false">N('IRR Calculator'!C43)</f>
        <v>0</v>
      </c>
    </row>
    <row r="46" customFormat="false" ht="15" hidden="false" customHeight="false" outlineLevel="0" collapsed="false">
      <c r="B46" s="46" t="n">
        <v>30</v>
      </c>
      <c r="C46" s="47" t="n">
        <f aca="false">IF(SIGN(E45)*SIGN(G45)&lt;=0,C45,F45)</f>
        <v>0.152382362870998</v>
      </c>
      <c r="D46" s="47" t="n">
        <f aca="false">IF(SIGN(E45)*SIGN(G45)&lt;=0,F45,D45)</f>
        <v>0.152382373115545</v>
      </c>
      <c r="E46" s="48" t="n">
        <f aca="false">IF(SIGN(E45)*SIGN(G45)&lt;=0,E45,G45)</f>
        <v>0.000978543459495995</v>
      </c>
      <c r="F46" s="49" t="n">
        <f aca="false">(C46+D46)/2</f>
        <v>0.152382367993271</v>
      </c>
      <c r="G46" s="50" t="n">
        <f aca="false">(SUMPRODUCT(Cash_Flows,(1+F46)^(-Years))-N(Initial_Investment))</f>
        <v>0.000374302246200386</v>
      </c>
      <c r="I46" s="51" t="n">
        <v>30</v>
      </c>
      <c r="J46" s="52" t="n">
        <f aca="false">N('IRR Calculator'!C44)</f>
        <v>0</v>
      </c>
    </row>
    <row r="47" customFormat="false" ht="15" hidden="false" customHeight="false" outlineLevel="0" collapsed="false">
      <c r="B47" s="46" t="n">
        <v>31</v>
      </c>
      <c r="C47" s="47" t="n">
        <f aca="false">IF(SIGN(E46)*SIGN(G46)&lt;=0,C46,F46)</f>
        <v>0.152382367993271</v>
      </c>
      <c r="D47" s="47" t="n">
        <f aca="false">IF(SIGN(E46)*SIGN(G46)&lt;=0,F46,D46)</f>
        <v>0.152382373115545</v>
      </c>
      <c r="E47" s="48" t="n">
        <f aca="false">IF(SIGN(E46)*SIGN(G46)&lt;=0,E46,G46)</f>
        <v>0.000374302246200386</v>
      </c>
      <c r="F47" s="49" t="n">
        <f aca="false">(C47+D47)/2</f>
        <v>0.152382370554408</v>
      </c>
      <c r="G47" s="50" t="n">
        <f aca="false">(SUMPRODUCT(Cash_Flows,(1+F47)^(-Years))-N(Initial_Investment))</f>
        <v>7.21816468285397E-005</v>
      </c>
    </row>
    <row r="48" customFormat="false" ht="15" hidden="false" customHeight="true" outlineLevel="0" collapsed="false">
      <c r="B48" s="46" t="n">
        <v>32</v>
      </c>
      <c r="C48" s="47" t="n">
        <f aca="false">IF(SIGN(E47)*SIGN(G47)&lt;=0,C47,F47)</f>
        <v>0.152382370554408</v>
      </c>
      <c r="D48" s="47" t="n">
        <f aca="false">IF(SIGN(E47)*SIGN(G47)&lt;=0,F47,D47)</f>
        <v>0.152382373115545</v>
      </c>
      <c r="E48" s="48" t="n">
        <f aca="false">IF(SIGN(E47)*SIGN(G47)&lt;=0,E47,G47)</f>
        <v>7.21816468285397E-005</v>
      </c>
      <c r="F48" s="49" t="n">
        <f aca="false">(C48+D48)/2</f>
        <v>0.152382371834977</v>
      </c>
      <c r="G48" s="50" t="n">
        <f aca="false">(SUMPRODUCT(Cash_Flows,(1+F48)^(-Years))-N(Initial_Investment))</f>
        <v>-7.88786710472778E-005</v>
      </c>
      <c r="I48" s="21" t="s">
        <v>98</v>
      </c>
      <c r="J48" s="21"/>
    </row>
    <row r="49" customFormat="false" ht="15" hidden="false" customHeight="false" outlineLevel="0" collapsed="false">
      <c r="B49" s="46" t="n">
        <v>33</v>
      </c>
      <c r="C49" s="47" t="n">
        <f aca="false">IF(SIGN(E48)*SIGN(G48)&lt;=0,C48,F48)</f>
        <v>0.152382370554408</v>
      </c>
      <c r="D49" s="47" t="n">
        <f aca="false">IF(SIGN(E48)*SIGN(G48)&lt;=0,F48,D48)</f>
        <v>0.152382371834977</v>
      </c>
      <c r="E49" s="48" t="n">
        <f aca="false">IF(SIGN(E48)*SIGN(G48)&lt;=0,E48,G48)</f>
        <v>7.21816468285397E-005</v>
      </c>
      <c r="F49" s="49" t="n">
        <f aca="false">(C49+D49)/2</f>
        <v>0.152382371194693</v>
      </c>
      <c r="G49" s="50" t="n">
        <f aca="false">(SUMPRODUCT(Cash_Flows,(1+F49)^(-Years))-N(Initial_Investment))</f>
        <v>-3.34851210936904E-006</v>
      </c>
      <c r="I49" s="21"/>
      <c r="J49" s="21"/>
    </row>
    <row r="50" customFormat="false" ht="15" hidden="false" customHeight="false" outlineLevel="0" collapsed="false">
      <c r="B50" s="46" t="n">
        <v>34</v>
      </c>
      <c r="C50" s="47" t="n">
        <f aca="false">IF(SIGN(E49)*SIGN(G49)&lt;=0,C49,F49)</f>
        <v>0.152382370554408</v>
      </c>
      <c r="D50" s="47" t="n">
        <f aca="false">IF(SIGN(E49)*SIGN(G49)&lt;=0,F49,D49)</f>
        <v>0.152382371194693</v>
      </c>
      <c r="E50" s="48" t="n">
        <f aca="false">IF(SIGN(E49)*SIGN(G49)&lt;=0,E49,G49)</f>
        <v>7.21816468285397E-005</v>
      </c>
      <c r="F50" s="49" t="n">
        <f aca="false">(C50+D50)/2</f>
        <v>0.15238237087455</v>
      </c>
      <c r="G50" s="50" t="n">
        <f aca="false">(SUMPRODUCT(Cash_Flows,(1+F50)^(-Years))-N(Initial_Investment))</f>
        <v>3.44165600836277E-005</v>
      </c>
      <c r="I50" s="21"/>
      <c r="J50" s="21"/>
    </row>
    <row r="51" customFormat="false" ht="15" hidden="false" customHeight="false" outlineLevel="0" collapsed="false">
      <c r="B51" s="46" t="n">
        <v>35</v>
      </c>
      <c r="C51" s="47" t="n">
        <f aca="false">IF(SIGN(E50)*SIGN(G50)&lt;=0,C50,F50)</f>
        <v>0.15238237087455</v>
      </c>
      <c r="D51" s="47" t="n">
        <f aca="false">IF(SIGN(E50)*SIGN(G50)&lt;=0,F50,D50)</f>
        <v>0.152382371194693</v>
      </c>
      <c r="E51" s="48" t="n">
        <f aca="false">IF(SIGN(E50)*SIGN(G50)&lt;=0,E50,G50)</f>
        <v>3.44165600836277E-005</v>
      </c>
      <c r="F51" s="49" t="n">
        <f aca="false">(C51+D51)/2</f>
        <v>0.152382371034621</v>
      </c>
      <c r="G51" s="50" t="n">
        <f aca="false">(SUMPRODUCT(Cash_Flows,(1+F51)^(-Years))-N(Initial_Investment))</f>
        <v>1.55340239871293E-005</v>
      </c>
    </row>
    <row r="52" customFormat="false" ht="15" hidden="false" customHeight="false" outlineLevel="0" collapsed="false">
      <c r="B52" s="46" t="n">
        <v>36</v>
      </c>
      <c r="C52" s="47" t="n">
        <f aca="false">IF(SIGN(E51)*SIGN(G51)&lt;=0,C51,F51)</f>
        <v>0.152382371034621</v>
      </c>
      <c r="D52" s="47" t="n">
        <f aca="false">IF(SIGN(E51)*SIGN(G51)&lt;=0,F51,D51)</f>
        <v>0.152382371194693</v>
      </c>
      <c r="E52" s="48" t="n">
        <f aca="false">IF(SIGN(E51)*SIGN(G51)&lt;=0,E51,G51)</f>
        <v>1.55340239871293E-005</v>
      </c>
      <c r="F52" s="49" t="n">
        <f aca="false">(C52+D52)/2</f>
        <v>0.152382371114657</v>
      </c>
      <c r="G52" s="50" t="n">
        <f aca="false">(SUMPRODUCT(Cash_Flows,(1+F52)^(-Years))-N(Initial_Investment))</f>
        <v>6.09275593888015E-006</v>
      </c>
    </row>
    <row r="53" customFormat="false" ht="15" hidden="false" customHeight="false" outlineLevel="0" collapsed="false">
      <c r="B53" s="46" t="n">
        <v>37</v>
      </c>
      <c r="C53" s="47" t="n">
        <f aca="false">IF(SIGN(E52)*SIGN(G52)&lt;=0,C52,F52)</f>
        <v>0.152382371114657</v>
      </c>
      <c r="D53" s="47" t="n">
        <f aca="false">IF(SIGN(E52)*SIGN(G52)&lt;=0,F52,D52)</f>
        <v>0.152382371194693</v>
      </c>
      <c r="E53" s="48" t="n">
        <f aca="false">IF(SIGN(E52)*SIGN(G52)&lt;=0,E52,G52)</f>
        <v>6.09275593888015E-006</v>
      </c>
      <c r="F53" s="49" t="n">
        <f aca="false">(C53+D53)/2</f>
        <v>0.152382371154675</v>
      </c>
      <c r="G53" s="50" t="n">
        <f aca="false">(SUMPRODUCT(Cash_Flows,(1+F53)^(-Years))-N(Initial_Investment))</f>
        <v>1.37212191475555E-006</v>
      </c>
    </row>
    <row r="54" customFormat="false" ht="15" hidden="false" customHeight="false" outlineLevel="0" collapsed="false">
      <c r="B54" s="46" t="n">
        <v>38</v>
      </c>
      <c r="C54" s="47" t="n">
        <f aca="false">IF(SIGN(E53)*SIGN(G53)&lt;=0,C53,F53)</f>
        <v>0.152382371154675</v>
      </c>
      <c r="D54" s="47" t="n">
        <f aca="false">IF(SIGN(E53)*SIGN(G53)&lt;=0,F53,D53)</f>
        <v>0.152382371194693</v>
      </c>
      <c r="E54" s="48" t="n">
        <f aca="false">IF(SIGN(E53)*SIGN(G53)&lt;=0,E53,G53)</f>
        <v>1.37212191475555E-006</v>
      </c>
      <c r="F54" s="49" t="n">
        <f aca="false">(C54+D54)/2</f>
        <v>0.152382371174684</v>
      </c>
      <c r="G54" s="50" t="n">
        <f aca="false">(SUMPRODUCT(Cash_Flows,(1+F54)^(-Years))-N(Initial_Investment))</f>
        <v>-9.8819873528555E-007</v>
      </c>
    </row>
    <row r="55" customFormat="false" ht="15" hidden="false" customHeight="false" outlineLevel="0" collapsed="false">
      <c r="B55" s="46" t="n">
        <v>39</v>
      </c>
      <c r="C55" s="47" t="n">
        <f aca="false">IF(SIGN(E54)*SIGN(G54)&lt;=0,C54,F54)</f>
        <v>0.152382371154675</v>
      </c>
      <c r="D55" s="47" t="n">
        <f aca="false">IF(SIGN(E54)*SIGN(G54)&lt;=0,F54,D54)</f>
        <v>0.152382371174684</v>
      </c>
      <c r="E55" s="48" t="n">
        <f aca="false">IF(SIGN(E54)*SIGN(G54)&lt;=0,E54,G54)</f>
        <v>1.37212191475555E-006</v>
      </c>
      <c r="F55" s="49" t="n">
        <f aca="false">(C55+D55)/2</f>
        <v>0.152382371164679</v>
      </c>
      <c r="G55" s="50" t="n">
        <f aca="false">(SUMPRODUCT(Cash_Flows,(1+F55)^(-Years))-N(Initial_Investment))</f>
        <v>1.91961589735001E-007</v>
      </c>
    </row>
    <row r="56" customFormat="false" ht="15" hidden="false" customHeight="false" outlineLevel="0" collapsed="false">
      <c r="B56" s="46" t="n">
        <v>40</v>
      </c>
      <c r="C56" s="47" t="n">
        <f aca="false">IF(SIGN(E55)*SIGN(G55)&lt;=0,C55,F55)</f>
        <v>0.152382371164679</v>
      </c>
      <c r="D56" s="47" t="n">
        <f aca="false">IF(SIGN(E55)*SIGN(G55)&lt;=0,F55,D55)</f>
        <v>0.152382371174684</v>
      </c>
      <c r="E56" s="48" t="n">
        <f aca="false">IF(SIGN(E55)*SIGN(G55)&lt;=0,E55,G55)</f>
        <v>1.91961589735001E-007</v>
      </c>
      <c r="F56" s="49" t="n">
        <f aca="false">(C56+D56)/2</f>
        <v>0.152382371169681</v>
      </c>
      <c r="G56" s="50" t="n">
        <f aca="false">(SUMPRODUCT(Cash_Flows,(1+F56)^(-Years))-N(Initial_Investment))</f>
        <v>-3.98118572775275E-007</v>
      </c>
    </row>
    <row r="57" customFormat="false" ht="15" hidden="false" customHeight="false" outlineLevel="0" collapsed="false">
      <c r="B57" s="46" t="n">
        <v>41</v>
      </c>
      <c r="C57" s="47" t="n">
        <f aca="false">IF(SIGN(E56)*SIGN(G56)&lt;=0,C56,F56)</f>
        <v>0.152382371164679</v>
      </c>
      <c r="D57" s="47" t="n">
        <f aca="false">IF(SIGN(E56)*SIGN(G56)&lt;=0,F56,D56)</f>
        <v>0.152382371169681</v>
      </c>
      <c r="E57" s="48" t="n">
        <f aca="false">IF(SIGN(E56)*SIGN(G56)&lt;=0,E56,G56)</f>
        <v>1.91961589735001E-007</v>
      </c>
      <c r="F57" s="49" t="n">
        <f aca="false">(C57+D57)/2</f>
        <v>0.15238237116718</v>
      </c>
      <c r="G57" s="50" t="n">
        <f aca="false">(SUMPRODUCT(Cash_Flows,(1+F57)^(-Years))-N(Initial_Investment))</f>
        <v>-1.03078491520137E-007</v>
      </c>
    </row>
    <row r="58" customFormat="false" ht="15" hidden="false" customHeight="false" outlineLevel="0" collapsed="false">
      <c r="B58" s="46" t="n">
        <v>42</v>
      </c>
      <c r="C58" s="47" t="n">
        <f aca="false">IF(SIGN(E57)*SIGN(G57)&lt;=0,C57,F57)</f>
        <v>0.152382371164679</v>
      </c>
      <c r="D58" s="47" t="n">
        <f aca="false">IF(SIGN(E57)*SIGN(G57)&lt;=0,F57,D57)</f>
        <v>0.15238237116718</v>
      </c>
      <c r="E58" s="48" t="n">
        <f aca="false">IF(SIGN(E57)*SIGN(G57)&lt;=0,E57,G57)</f>
        <v>1.91961589735001E-007</v>
      </c>
      <c r="F58" s="49" t="n">
        <f aca="false">(C58+D58)/2</f>
        <v>0.15238237116593</v>
      </c>
      <c r="G58" s="50" t="n">
        <f aca="false">(SUMPRODUCT(Cash_Flows,(1+F58)^(-Years))-N(Initial_Investment))</f>
        <v>4.44488250650466E-008</v>
      </c>
    </row>
    <row r="59" customFormat="false" ht="15" hidden="false" customHeight="false" outlineLevel="0" collapsed="false">
      <c r="B59" s="46" t="n">
        <v>43</v>
      </c>
      <c r="C59" s="47" t="n">
        <f aca="false">IF(SIGN(E58)*SIGN(G58)&lt;=0,C58,F58)</f>
        <v>0.15238237116593</v>
      </c>
      <c r="D59" s="47" t="n">
        <f aca="false">IF(SIGN(E58)*SIGN(G58)&lt;=0,F58,D58)</f>
        <v>0.15238237116718</v>
      </c>
      <c r="E59" s="48" t="n">
        <f aca="false">IF(SIGN(E58)*SIGN(G58)&lt;=0,E58,G58)</f>
        <v>4.44488250650466E-008</v>
      </c>
      <c r="F59" s="49" t="n">
        <f aca="false">(C59+D59)/2</f>
        <v>0.152382371166555</v>
      </c>
      <c r="G59" s="50" t="n">
        <f aca="false">(SUMPRODUCT(Cash_Flows,(1+F59)^(-Years))-N(Initial_Investment))</f>
        <v>-2.9314833227545E-008</v>
      </c>
    </row>
    <row r="60" customFormat="false" ht="15" hidden="false" customHeight="false" outlineLevel="0" collapsed="false">
      <c r="B60" s="46" t="n">
        <v>44</v>
      </c>
      <c r="C60" s="47" t="n">
        <f aca="false">IF(SIGN(E59)*SIGN(G59)&lt;=0,C59,F59)</f>
        <v>0.15238237116593</v>
      </c>
      <c r="D60" s="47" t="n">
        <f aca="false">IF(SIGN(E59)*SIGN(G59)&lt;=0,F59,D59)</f>
        <v>0.152382371166555</v>
      </c>
      <c r="E60" s="48" t="n">
        <f aca="false">IF(SIGN(E59)*SIGN(G59)&lt;=0,E59,G59)</f>
        <v>4.44488250650466E-008</v>
      </c>
      <c r="F60" s="49" t="n">
        <f aca="false">(C60+D60)/2</f>
        <v>0.152382371166242</v>
      </c>
      <c r="G60" s="50" t="n">
        <f aca="false">(SUMPRODUCT(Cash_Flows,(1+F60)^(-Years))-N(Initial_Investment))</f>
        <v>7.56699591875076E-009</v>
      </c>
    </row>
    <row r="61" customFormat="false" ht="15" hidden="false" customHeight="false" outlineLevel="0" collapsed="false">
      <c r="B61" s="46" t="n">
        <v>45</v>
      </c>
      <c r="C61" s="47" t="n">
        <f aca="false">IF(SIGN(E60)*SIGN(G60)&lt;=0,C60,F60)</f>
        <v>0.152382371166242</v>
      </c>
      <c r="D61" s="47" t="n">
        <f aca="false">IF(SIGN(E60)*SIGN(G60)&lt;=0,F60,D60)</f>
        <v>0.152382371166555</v>
      </c>
      <c r="E61" s="48" t="n">
        <f aca="false">IF(SIGN(E60)*SIGN(G60)&lt;=0,E60,G60)</f>
        <v>7.56699591875076E-009</v>
      </c>
      <c r="F61" s="49" t="n">
        <f aca="false">(C61+D61)/2</f>
        <v>0.152382371166399</v>
      </c>
      <c r="G61" s="50" t="n">
        <f aca="false">(SUMPRODUCT(Cash_Flows,(1+F61)^(-Years))-N(Initial_Investment))</f>
        <v>-1.08775566332042E-008</v>
      </c>
    </row>
    <row r="62" customFormat="false" ht="15" hidden="false" customHeight="false" outlineLevel="0" collapsed="false">
      <c r="B62" s="46" t="n">
        <v>46</v>
      </c>
      <c r="C62" s="47" t="n">
        <f aca="false">IF(SIGN(E61)*SIGN(G61)&lt;=0,C61,F61)</f>
        <v>0.152382371166242</v>
      </c>
      <c r="D62" s="47" t="n">
        <f aca="false">IF(SIGN(E61)*SIGN(G61)&lt;=0,F61,D61)</f>
        <v>0.152382371166399</v>
      </c>
      <c r="E62" s="48" t="n">
        <f aca="false">IF(SIGN(E61)*SIGN(G61)&lt;=0,E61,G61)</f>
        <v>7.56699591875076E-009</v>
      </c>
      <c r="F62" s="49" t="n">
        <f aca="false">(C62+D62)/2</f>
        <v>0.152382371166321</v>
      </c>
      <c r="G62" s="50" t="n">
        <f aca="false">(SUMPRODUCT(Cash_Flows,(1+F62)^(-Years))-N(Initial_Investment))</f>
        <v>-1.65891833603382E-009</v>
      </c>
    </row>
    <row r="63" customFormat="false" ht="15" hidden="false" customHeight="false" outlineLevel="0" collapsed="false">
      <c r="B63" s="46" t="n">
        <v>47</v>
      </c>
      <c r="C63" s="47" t="n">
        <f aca="false">IF(SIGN(E62)*SIGN(G62)&lt;=0,C62,F62)</f>
        <v>0.152382371166242</v>
      </c>
      <c r="D63" s="47" t="n">
        <f aca="false">IF(SIGN(E62)*SIGN(G62)&lt;=0,F62,D62)</f>
        <v>0.152382371166321</v>
      </c>
      <c r="E63" s="48" t="n">
        <f aca="false">IF(SIGN(E62)*SIGN(G62)&lt;=0,E62,G62)</f>
        <v>7.56699591875076E-009</v>
      </c>
      <c r="F63" s="49" t="n">
        <f aca="false">(C63+D63)/2</f>
        <v>0.152382371166281</v>
      </c>
      <c r="G63" s="50" t="n">
        <f aca="false">(SUMPRODUCT(Cash_Flows,(1+F63)^(-Years))-N(Initial_Investment))</f>
        <v>2.95403879135847E-009</v>
      </c>
    </row>
    <row r="64" customFormat="false" ht="15" hidden="false" customHeight="false" outlineLevel="0" collapsed="false">
      <c r="B64" s="46" t="n">
        <v>48</v>
      </c>
      <c r="C64" s="47" t="n">
        <f aca="false">IF(SIGN(E63)*SIGN(G63)&lt;=0,C63,F63)</f>
        <v>0.152382371166281</v>
      </c>
      <c r="D64" s="47" t="n">
        <f aca="false">IF(SIGN(E63)*SIGN(G63)&lt;=0,F63,D63)</f>
        <v>0.152382371166321</v>
      </c>
      <c r="E64" s="48" t="n">
        <f aca="false">IF(SIGN(E63)*SIGN(G63)&lt;=0,E63,G63)</f>
        <v>2.95403879135847E-009</v>
      </c>
      <c r="F64" s="49" t="n">
        <f aca="false">(C64+D64)/2</f>
        <v>0.152382371166301</v>
      </c>
      <c r="G64" s="50" t="n">
        <f aca="false">(SUMPRODUCT(Cash_Flows,(1+F64)^(-Years))-N(Initial_Investment))</f>
        <v>6.47560227662325E-010</v>
      </c>
    </row>
    <row r="65" customFormat="false" ht="15" hidden="false" customHeight="false" outlineLevel="0" collapsed="false">
      <c r="B65" s="46" t="n">
        <v>49</v>
      </c>
      <c r="C65" s="47" t="n">
        <f aca="false">IF(SIGN(E64)*SIGN(G64)&lt;=0,C64,F64)</f>
        <v>0.152382371166301</v>
      </c>
      <c r="D65" s="47" t="n">
        <f aca="false">IF(SIGN(E64)*SIGN(G64)&lt;=0,F64,D64)</f>
        <v>0.152382371166321</v>
      </c>
      <c r="E65" s="48" t="n">
        <f aca="false">IF(SIGN(E64)*SIGN(G64)&lt;=0,E64,G64)</f>
        <v>6.47560227662325E-010</v>
      </c>
      <c r="F65" s="49" t="n">
        <f aca="false">(C65+D65)/2</f>
        <v>0.152382371166311</v>
      </c>
      <c r="G65" s="50" t="n">
        <f aca="false">(SUMPRODUCT(Cash_Flows,(1+F65)^(-Years))-N(Initial_Investment))</f>
        <v>-5.02041075378656E-010</v>
      </c>
    </row>
    <row r="66" customFormat="false" ht="15" hidden="false" customHeight="false" outlineLevel="0" collapsed="false">
      <c r="B66" s="46" t="n">
        <v>50</v>
      </c>
      <c r="C66" s="47" t="n">
        <f aca="false">IF(SIGN(E65)*SIGN(G65)&lt;=0,C65,F65)</f>
        <v>0.152382371166301</v>
      </c>
      <c r="D66" s="47" t="n">
        <f aca="false">IF(SIGN(E65)*SIGN(G65)&lt;=0,F65,D65)</f>
        <v>0.152382371166311</v>
      </c>
      <c r="E66" s="48" t="n">
        <f aca="false">IF(SIGN(E65)*SIGN(G65)&lt;=0,E65,G65)</f>
        <v>6.47560227662325E-010</v>
      </c>
      <c r="F66" s="49" t="n">
        <f aca="false">(C66+D66)/2</f>
        <v>0.152382371166306</v>
      </c>
      <c r="G66" s="50" t="n">
        <f aca="false">(SUMPRODUCT(Cash_Flows,(1+F66)^(-Years))-N(Initial_Investment))</f>
        <v>0</v>
      </c>
    </row>
    <row r="67" customFormat="false" ht="15" hidden="false" customHeight="false" outlineLevel="0" collapsed="false">
      <c r="B67" s="46" t="n">
        <v>51</v>
      </c>
      <c r="C67" s="47" t="n">
        <f aca="false">IF(SIGN(E66)*SIGN(G66)&lt;=0,C66,F66)</f>
        <v>0.152382371166301</v>
      </c>
      <c r="D67" s="47" t="n">
        <f aca="false">IF(SIGN(E66)*SIGN(G66)&lt;=0,F66,D66)</f>
        <v>0.152382371166306</v>
      </c>
      <c r="E67" s="48" t="n">
        <f aca="false">IF(SIGN(E66)*SIGN(G66)&lt;=0,E66,G66)</f>
        <v>6.47560227662325E-010</v>
      </c>
      <c r="F67" s="49" t="n">
        <f aca="false">(C67+D67)/2</f>
        <v>0.152382371166303</v>
      </c>
      <c r="G67" s="50" t="n">
        <f aca="false">(SUMPRODUCT(Cash_Flows,(1+F67)^(-Years))-N(Initial_Investment))</f>
        <v>3.63797880709171E-010</v>
      </c>
    </row>
    <row r="68" customFormat="false" ht="15" hidden="false" customHeight="false" outlineLevel="0" collapsed="false">
      <c r="B68" s="46" t="n">
        <v>52</v>
      </c>
      <c r="C68" s="47" t="n">
        <f aca="false">IF(SIGN(E67)*SIGN(G67)&lt;=0,C67,F67)</f>
        <v>0.152382371166303</v>
      </c>
      <c r="D68" s="47" t="n">
        <f aca="false">IF(SIGN(E67)*SIGN(G67)&lt;=0,F67,D67)</f>
        <v>0.152382371166306</v>
      </c>
      <c r="E68" s="48" t="n">
        <f aca="false">IF(SIGN(E67)*SIGN(G67)&lt;=0,E67,G67)</f>
        <v>3.63797880709171E-010</v>
      </c>
      <c r="F68" s="49" t="n">
        <f aca="false">(C68+D68)/2</f>
        <v>0.152382371166305</v>
      </c>
      <c r="G68" s="50" t="n">
        <f aca="false">(SUMPRODUCT(Cash_Flows,(1+F68)^(-Years))-N(Initial_Investment))</f>
        <v>2.3283064365387E-010</v>
      </c>
    </row>
    <row r="69" customFormat="false" ht="15" hidden="false" customHeight="false" outlineLevel="0" collapsed="false">
      <c r="B69" s="46" t="n">
        <v>53</v>
      </c>
      <c r="C69" s="47" t="n">
        <f aca="false">IF(SIGN(E68)*SIGN(G68)&lt;=0,C68,F68)</f>
        <v>0.152382371166305</v>
      </c>
      <c r="D69" s="47" t="n">
        <f aca="false">IF(SIGN(E68)*SIGN(G68)&lt;=0,F68,D68)</f>
        <v>0.152382371166306</v>
      </c>
      <c r="E69" s="48" t="n">
        <f aca="false">IF(SIGN(E68)*SIGN(G68)&lt;=0,E68,G68)</f>
        <v>2.3283064365387E-010</v>
      </c>
      <c r="F69" s="49" t="n">
        <f aca="false">(C69+D69)/2</f>
        <v>0.152382371166305</v>
      </c>
      <c r="G69" s="50" t="n">
        <f aca="false">(SUMPRODUCT(Cash_Flows,(1+F69)^(-Years))-N(Initial_Investment))</f>
        <v>0</v>
      </c>
    </row>
    <row r="70" customFormat="false" ht="15" hidden="false" customHeight="false" outlineLevel="0" collapsed="false">
      <c r="B70" s="46" t="n">
        <v>54</v>
      </c>
      <c r="C70" s="47" t="n">
        <f aca="false">IF(SIGN(E69)*SIGN(G69)&lt;=0,C69,F69)</f>
        <v>0.152382371166305</v>
      </c>
      <c r="D70" s="47" t="n">
        <f aca="false">IF(SIGN(E69)*SIGN(G69)&lt;=0,F69,D69)</f>
        <v>0.152382371166305</v>
      </c>
      <c r="E70" s="48" t="n">
        <f aca="false">IF(SIGN(E69)*SIGN(G69)&lt;=0,E69,G69)</f>
        <v>2.3283064365387E-010</v>
      </c>
      <c r="F70" s="49" t="n">
        <f aca="false">(C70+D70)/2</f>
        <v>0.152382371166305</v>
      </c>
      <c r="G70" s="50" t="n">
        <f aca="false">(SUMPRODUCT(Cash_Flows,(1+F70)^(-Years))-N(Initial_Investment))</f>
        <v>0</v>
      </c>
    </row>
    <row r="71" customFormat="false" ht="15" hidden="false" customHeight="false" outlineLevel="0" collapsed="false">
      <c r="B71" s="46" t="n">
        <v>55</v>
      </c>
      <c r="C71" s="47" t="n">
        <f aca="false">IF(SIGN(E70)*SIGN(G70)&lt;=0,C70,F70)</f>
        <v>0.152382371166305</v>
      </c>
      <c r="D71" s="47" t="n">
        <f aca="false">IF(SIGN(E70)*SIGN(G70)&lt;=0,F70,D70)</f>
        <v>0.152382371166305</v>
      </c>
      <c r="E71" s="48" t="n">
        <f aca="false">IF(SIGN(E70)*SIGN(G70)&lt;=0,E70,G70)</f>
        <v>2.3283064365387E-010</v>
      </c>
      <c r="F71" s="49" t="n">
        <f aca="false">(C71+D71)/2</f>
        <v>0.152382371166305</v>
      </c>
      <c r="G71" s="50" t="n">
        <f aca="false">(SUMPRODUCT(Cash_Flows,(1+F71)^(-Years))-N(Initial_Investment))</f>
        <v>2.03726813197136E-010</v>
      </c>
    </row>
    <row r="72" customFormat="false" ht="15" hidden="false" customHeight="false" outlineLevel="0" collapsed="false">
      <c r="B72" s="46" t="n">
        <v>56</v>
      </c>
      <c r="C72" s="47" t="n">
        <f aca="false">IF(SIGN(E71)*SIGN(G71)&lt;=0,C71,F71)</f>
        <v>0.152382371166305</v>
      </c>
      <c r="D72" s="47" t="n">
        <f aca="false">IF(SIGN(E71)*SIGN(G71)&lt;=0,F71,D71)</f>
        <v>0.152382371166305</v>
      </c>
      <c r="E72" s="48" t="n">
        <f aca="false">IF(SIGN(E71)*SIGN(G71)&lt;=0,E71,G71)</f>
        <v>2.03726813197136E-010</v>
      </c>
      <c r="F72" s="49" t="n">
        <f aca="false">(C72+D72)/2</f>
        <v>0.152382371166305</v>
      </c>
      <c r="G72" s="50" t="n">
        <f aca="false">(SUMPRODUCT(Cash_Flows,(1+F72)^(-Years))-N(Initial_Investment))</f>
        <v>2.03726813197136E-010</v>
      </c>
    </row>
    <row r="73" customFormat="false" ht="15" hidden="false" customHeight="false" outlineLevel="0" collapsed="false">
      <c r="B73" s="46" t="n">
        <v>57</v>
      </c>
      <c r="C73" s="47" t="n">
        <f aca="false">IF(SIGN(E72)*SIGN(G72)&lt;=0,C72,F72)</f>
        <v>0.152382371166305</v>
      </c>
      <c r="D73" s="47" t="n">
        <f aca="false">IF(SIGN(E72)*SIGN(G72)&lt;=0,F72,D72)</f>
        <v>0.152382371166305</v>
      </c>
      <c r="E73" s="48" t="n">
        <f aca="false">IF(SIGN(E72)*SIGN(G72)&lt;=0,E72,G72)</f>
        <v>2.03726813197136E-010</v>
      </c>
      <c r="F73" s="49" t="n">
        <f aca="false">(C73+D73)/2</f>
        <v>0.152382371166305</v>
      </c>
      <c r="G73" s="50" t="n">
        <f aca="false">(SUMPRODUCT(Cash_Flows,(1+F73)^(-Years))-N(Initial_Investment))</f>
        <v>0</v>
      </c>
    </row>
    <row r="74" customFormat="false" ht="15" hidden="false" customHeight="false" outlineLevel="0" collapsed="false">
      <c r="B74" s="46" t="n">
        <v>58</v>
      </c>
      <c r="C74" s="47" t="n">
        <f aca="false">IF(SIGN(E73)*SIGN(G73)&lt;=0,C73,F73)</f>
        <v>0.152382371166305</v>
      </c>
      <c r="D74" s="47" t="n">
        <f aca="false">IF(SIGN(E73)*SIGN(G73)&lt;=0,F73,D73)</f>
        <v>0.152382371166305</v>
      </c>
      <c r="E74" s="48" t="n">
        <f aca="false">IF(SIGN(E73)*SIGN(G73)&lt;=0,E73,G73)</f>
        <v>2.03726813197136E-010</v>
      </c>
      <c r="F74" s="49" t="n">
        <f aca="false">(C74+D74)/2</f>
        <v>0.152382371166305</v>
      </c>
      <c r="G74" s="50" t="n">
        <f aca="false">(SUMPRODUCT(Cash_Flows,(1+F74)^(-Years))-N(Initial_Investment))</f>
        <v>2.03726813197136E-010</v>
      </c>
    </row>
    <row r="75" customFormat="false" ht="15" hidden="false" customHeight="false" outlineLevel="0" collapsed="false">
      <c r="B75" s="46" t="n">
        <v>59</v>
      </c>
      <c r="C75" s="47" t="n">
        <f aca="false">IF(SIGN(E74)*SIGN(G74)&lt;=0,C74,F74)</f>
        <v>0.152382371166305</v>
      </c>
      <c r="D75" s="47" t="n">
        <f aca="false">IF(SIGN(E74)*SIGN(G74)&lt;=0,F74,D74)</f>
        <v>0.152382371166305</v>
      </c>
      <c r="E75" s="48" t="n">
        <f aca="false">IF(SIGN(E74)*SIGN(G74)&lt;=0,E74,G74)</f>
        <v>2.03726813197136E-010</v>
      </c>
      <c r="F75" s="49" t="n">
        <f aca="false">(C75+D75)/2</f>
        <v>0.152382371166305</v>
      </c>
      <c r="G75" s="50" t="n">
        <f aca="false">(SUMPRODUCT(Cash_Flows,(1+F75)^(-Years))-N(Initial_Investment))</f>
        <v>0</v>
      </c>
    </row>
    <row r="76" customFormat="false" ht="15" hidden="false" customHeight="false" outlineLevel="0" collapsed="false">
      <c r="B76" s="46" t="n">
        <v>60</v>
      </c>
      <c r="C76" s="47" t="n">
        <f aca="false">IF(SIGN(E75)*SIGN(G75)&lt;=0,C75,F75)</f>
        <v>0.152382371166305</v>
      </c>
      <c r="D76" s="47" t="n">
        <f aca="false">IF(SIGN(E75)*SIGN(G75)&lt;=0,F75,D75)</f>
        <v>0.152382371166305</v>
      </c>
      <c r="E76" s="46"/>
      <c r="F76" s="53"/>
      <c r="G76" s="53"/>
    </row>
    <row r="77" customFormat="false" ht="15" hidden="false" customHeight="true" outlineLevel="0" collapsed="false">
      <c r="B77" s="44" t="s">
        <v>99</v>
      </c>
      <c r="C77" s="54" t="n">
        <f aca="false">(C76+D76)/2</f>
        <v>0.152382371166305</v>
      </c>
      <c r="D77" s="21" t="s">
        <v>100</v>
      </c>
      <c r="E77" s="21"/>
      <c r="F77" s="21"/>
      <c r="G77" s="21"/>
    </row>
  </sheetData>
  <mergeCells count="3">
    <mergeCell ref="E12:G12"/>
    <mergeCell ref="I48:J50"/>
    <mergeCell ref="D77:G77"/>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L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4" min="3" style="0" width="16"/>
    <col collapsed="false" customWidth="true" hidden="false" outlineLevel="0" max="5" min="5" style="0" width="3"/>
    <col collapsed="false" customWidth="true" hidden="false" outlineLevel="0" max="11" min="6" style="0" width="12"/>
    <col collapsed="false" customWidth="true" hidden="false" outlineLevel="0" max="12" min="12" style="0" width="3"/>
  </cols>
  <sheetData>
    <row r="1" customFormat="false" ht="7.5" hidden="false" customHeight="true" outlineLevel="0" collapsed="false">
      <c r="A1" s="1"/>
      <c r="B1" s="1"/>
      <c r="C1" s="1"/>
      <c r="D1" s="1"/>
      <c r="E1" s="1"/>
      <c r="F1" s="1"/>
      <c r="G1" s="1"/>
      <c r="H1" s="1"/>
      <c r="I1" s="1"/>
      <c r="J1" s="1"/>
      <c r="K1" s="1"/>
      <c r="L1" s="1"/>
    </row>
    <row r="2" customFormat="false" ht="30" hidden="false" customHeight="true" outlineLevel="0" collapsed="false">
      <c r="A2" s="1"/>
      <c r="B2" s="2" t="s">
        <v>51</v>
      </c>
      <c r="C2" s="1"/>
      <c r="D2" s="1"/>
      <c r="E2" s="1"/>
      <c r="F2" s="1"/>
      <c r="G2" s="1"/>
      <c r="H2" s="1"/>
      <c r="I2" s="1"/>
      <c r="J2" s="1"/>
      <c r="K2" s="1"/>
      <c r="L2" s="1"/>
    </row>
    <row r="3" customFormat="false" ht="19.5" hidden="false" customHeight="true" outlineLevel="0" collapsed="false">
      <c r="A3" s="1"/>
      <c r="B3" s="3" t="s">
        <v>101</v>
      </c>
      <c r="C3" s="1"/>
      <c r="D3" s="1"/>
      <c r="E3" s="1"/>
      <c r="F3" s="1"/>
      <c r="G3" s="1"/>
      <c r="H3" s="1"/>
      <c r="I3" s="1"/>
      <c r="J3" s="1"/>
      <c r="K3" s="1"/>
      <c r="L3" s="1"/>
    </row>
    <row r="4" customFormat="false" ht="7.5" hidden="false" customHeight="true" outlineLevel="0" collapsed="false">
      <c r="A4" s="1"/>
      <c r="B4" s="1"/>
      <c r="C4" s="1"/>
      <c r="D4" s="1"/>
      <c r="E4" s="1"/>
      <c r="F4" s="1"/>
      <c r="G4" s="1"/>
      <c r="H4" s="1"/>
      <c r="I4" s="1"/>
      <c r="J4" s="1"/>
      <c r="K4" s="1"/>
      <c r="L4" s="1"/>
    </row>
    <row r="5" customFormat="false" ht="3" hidden="false" customHeight="true" outlineLevel="0" collapsed="false">
      <c r="A5" s="4"/>
      <c r="B5" s="4"/>
      <c r="C5" s="4"/>
      <c r="D5" s="4"/>
      <c r="E5" s="4"/>
      <c r="F5" s="4"/>
      <c r="G5" s="4"/>
      <c r="H5" s="4"/>
      <c r="I5" s="4"/>
      <c r="J5" s="4"/>
      <c r="K5" s="4"/>
      <c r="L5" s="4"/>
    </row>
    <row r="7" customFormat="false" ht="19.5" hidden="false" customHeight="true" outlineLevel="0" collapsed="false">
      <c r="B7" s="5" t="s">
        <v>102</v>
      </c>
      <c r="C7" s="6"/>
      <c r="D7" s="6"/>
    </row>
    <row r="8" customFormat="false" ht="15" hidden="false" customHeight="false" outlineLevel="0" collapsed="false">
      <c r="B8" s="18" t="s">
        <v>103</v>
      </c>
      <c r="C8" s="22" t="n">
        <v>0</v>
      </c>
    </row>
    <row r="9" customFormat="false" ht="15" hidden="false" customHeight="false" outlineLevel="0" collapsed="false">
      <c r="B9" s="18" t="s">
        <v>104</v>
      </c>
      <c r="C9" s="22" t="n">
        <v>0.025</v>
      </c>
    </row>
    <row r="11" customFormat="false" ht="19.5" hidden="false" customHeight="true" outlineLevel="0" collapsed="false">
      <c r="B11" s="25"/>
      <c r="C11" s="26" t="s">
        <v>105</v>
      </c>
      <c r="D11" s="26" t="s">
        <v>106</v>
      </c>
    </row>
    <row r="12" customFormat="false" ht="15" hidden="false" customHeight="false" outlineLevel="0" collapsed="false">
      <c r="B12" s="55" t="str">
        <f aca="false">IF(AND(ISNUMBER(IRR_Result),C12&lt;=IRR_Result,C12+$C$9&gt;IRR_Result),"IRR is in this band ►","")</f>
        <v/>
      </c>
      <c r="C12" s="42" t="n">
        <f aca="false">$C$8+0*$C$9</f>
        <v>0</v>
      </c>
      <c r="D12" s="30" t="n">
        <f aca="false">IF(AND(AND(COUNT(Cash_Flows)&gt;0,N(Initial_Investment)&gt;0),C12&gt;-1),(SUMPRODUCT(Cash_Flows,(1+C12)^(-Years))-N(Initial_Investment)),"—")</f>
        <v>25000</v>
      </c>
    </row>
    <row r="13" customFormat="false" ht="15" hidden="false" customHeight="false" outlineLevel="0" collapsed="false">
      <c r="B13" s="55" t="str">
        <f aca="false">IF(AND(ISNUMBER(IRR_Result),C13&lt;=IRR_Result,C13+$C$9&gt;IRR_Result),"IRR is in this band ►","")</f>
        <v/>
      </c>
      <c r="C13" s="42" t="n">
        <f aca="false">$C$8+1*$C$9</f>
        <v>0.025</v>
      </c>
      <c r="D13" s="30" t="n">
        <f aca="false">IF(AND(AND(COUNT(Cash_Flows)&gt;0,N(Initial_Investment)&gt;0),C13&gt;-1),(SUMPRODUCT(Cash_Flows,(1+C13)^(-Years))-N(Initial_Investment)),"—")</f>
        <v>19687.4274342899</v>
      </c>
    </row>
    <row r="14" customFormat="false" ht="15" hidden="false" customHeight="false" outlineLevel="0" collapsed="false">
      <c r="B14" s="55" t="str">
        <f aca="false">IF(AND(ISNUMBER(IRR_Result),C14&lt;=IRR_Result,C14+$C$9&gt;IRR_Result),"IRR is in this band ►","")</f>
        <v/>
      </c>
      <c r="C14" s="42" t="n">
        <f aca="false">$C$8+2*$C$9</f>
        <v>0.05</v>
      </c>
      <c r="D14" s="30" t="n">
        <f aca="false">IF(AND(AND(COUNT(Cash_Flows)&gt;0,N(Initial_Investment)&gt;0),C14&gt;-1),(SUMPRODUCT(Cash_Flows,(1+C14)^(-Years))-N(Initial_Investment)),"—")</f>
        <v>14942.1500594623</v>
      </c>
    </row>
    <row r="15" customFormat="false" ht="15" hidden="false" customHeight="false" outlineLevel="0" collapsed="false">
      <c r="B15" s="55" t="str">
        <f aca="false">IF(AND(ISNUMBER(IRR_Result),C15&lt;=IRR_Result,C15+$C$9&gt;IRR_Result),"IRR is in this band ►","")</f>
        <v/>
      </c>
      <c r="C15" s="42" t="n">
        <f aca="false">$C$8+3*$C$9</f>
        <v>0.075</v>
      </c>
      <c r="D15" s="30" t="n">
        <f aca="false">IF(AND(AND(COUNT(Cash_Flows)&gt;0,N(Initial_Investment)&gt;0),C15&gt;-1),(SUMPRODUCT(Cash_Flows,(1+C15)^(-Years))-N(Initial_Investment)),"—")</f>
        <v>10688.2735299768</v>
      </c>
    </row>
    <row r="16" customFormat="false" ht="15" hidden="false" customHeight="false" outlineLevel="0" collapsed="false">
      <c r="B16" s="55" t="str">
        <f aca="false">IF(AND(ISNUMBER(IRR_Result),C16&lt;=IRR_Result,C16+$C$9&gt;IRR_Result),"IRR is in this band ►","")</f>
        <v/>
      </c>
      <c r="C16" s="42" t="n">
        <f aca="false">$C$8+4*$C$9</f>
        <v>0.1</v>
      </c>
      <c r="D16" s="30" t="n">
        <f aca="false">IF(AND(AND(COUNT(Cash_Flows)&gt;0,N(Initial_Investment)&gt;0),C16&gt;-1),(SUMPRODUCT(Cash_Flows,(1+C16)^(-Years))-N(Initial_Investment)),"—")</f>
        <v>6861.80154112671</v>
      </c>
    </row>
    <row r="17" customFormat="false" ht="15" hidden="false" customHeight="false" outlineLevel="0" collapsed="false">
      <c r="B17" s="55" t="str">
        <f aca="false">IF(AND(ISNUMBER(IRR_Result),C17&lt;=IRR_Result,C17+$C$9&gt;IRR_Result),"IRR is in this band ►","")</f>
        <v/>
      </c>
      <c r="C17" s="42" t="n">
        <f aca="false">$C$8+5*$C$9</f>
        <v>0.125</v>
      </c>
      <c r="D17" s="30" t="n">
        <f aca="false">IF(AND(AND(COUNT(Cash_Flows)&gt;0,N(Initial_Investment)&gt;0),C17&gt;-1),(SUMPRODUCT(Cash_Flows,(1+C17)^(-Years))-N(Initial_Investment)),"—")</f>
        <v>3408.52512320276</v>
      </c>
    </row>
    <row r="18" customFormat="false" ht="15" hidden="false" customHeight="false" outlineLevel="0" collapsed="false">
      <c r="B18" s="55" t="str">
        <f aca="false">IF(AND(ISNUMBER(IRR_Result),C18&lt;=IRR_Result,C18+$C$9&gt;IRR_Result),"IRR is in this band ►","")</f>
        <v>IRR is in this band ►</v>
      </c>
      <c r="C18" s="42" t="n">
        <f aca="false">$C$8+6*$C$9</f>
        <v>0.15</v>
      </c>
      <c r="D18" s="30" t="n">
        <f aca="false">IF(AND(AND(COUNT(Cash_Flows)&gt;0,N(Initial_Investment)&gt;0),C18&gt;-1),(SUMPRODUCT(Cash_Flows,(1+C18)^(-Years))-N(Initial_Investment)),"—")</f>
        <v>282.326470171036</v>
      </c>
    </row>
    <row r="19" customFormat="false" ht="15" hidden="false" customHeight="false" outlineLevel="0" collapsed="false">
      <c r="B19" s="55" t="str">
        <f aca="false">IF(AND(ISNUMBER(IRR_Result),C19&lt;=IRR_Result,C19+$C$9&gt;IRR_Result),"IRR is in this band ►","")</f>
        <v/>
      </c>
      <c r="C19" s="42" t="n">
        <f aca="false">$C$8+7*$C$9</f>
        <v>0.175</v>
      </c>
      <c r="D19" s="30" t="n">
        <f aca="false">IF(AND(AND(COUNT(Cash_Flows)&gt;0,N(Initial_Investment)&gt;0),C19&gt;-1),(SUMPRODUCT(Cash_Flows,(1+C19)^(-Years))-N(Initial_Investment)),"—")</f>
        <v>-2556.19146746893</v>
      </c>
    </row>
    <row r="20" customFormat="false" ht="15" hidden="false" customHeight="false" outlineLevel="0" collapsed="false">
      <c r="B20" s="55" t="str">
        <f aca="false">IF(AND(ISNUMBER(IRR_Result),C20&lt;=IRR_Result,C20+$C$9&gt;IRR_Result),"IRR is in this band ►","")</f>
        <v/>
      </c>
      <c r="C20" s="42" t="n">
        <f aca="false">$C$8+8*$C$9</f>
        <v>0.2</v>
      </c>
      <c r="D20" s="30" t="n">
        <f aca="false">IF(AND(AND(COUNT(Cash_Flows)&gt;0,N(Initial_Investment)&gt;0),C20&gt;-1),(SUMPRODUCT(Cash_Flows,(1+C20)^(-Years))-N(Initial_Investment)),"—")</f>
        <v>-5140.81790123456</v>
      </c>
    </row>
    <row r="21" customFormat="false" ht="15" hidden="false" customHeight="false" outlineLevel="0" collapsed="false">
      <c r="B21" s="55" t="str">
        <f aca="false">IF(AND(ISNUMBER(IRR_Result),C21&lt;=IRR_Result,C21+$C$9&gt;IRR_Result),"IRR is in this band ►","")</f>
        <v/>
      </c>
      <c r="C21" s="42" t="n">
        <f aca="false">$C$8+9*$C$9</f>
        <v>0.225</v>
      </c>
      <c r="D21" s="30" t="n">
        <f aca="false">IF(AND(AND(COUNT(Cash_Flows)&gt;0,N(Initial_Investment)&gt;0),C21&gt;-1),(SUMPRODUCT(Cash_Flows,(1+C21)^(-Years))-N(Initial_Investment)),"—")</f>
        <v>-7500.64247221888</v>
      </c>
    </row>
    <row r="22" customFormat="false" ht="15" hidden="false" customHeight="false" outlineLevel="0" collapsed="false">
      <c r="B22" s="55" t="str">
        <f aca="false">IF(AND(ISNUMBER(IRR_Result),C22&lt;=IRR_Result,C22+$C$9&gt;IRR_Result),"IRR is in this band ►","")</f>
        <v/>
      </c>
      <c r="C22" s="42" t="n">
        <f aca="false">$C$8+10*$C$9</f>
        <v>0.25</v>
      </c>
      <c r="D22" s="30" t="n">
        <f aca="false">IF(AND(AND(COUNT(Cash_Flows)&gt;0,N(Initial_Investment)&gt;0),C22&gt;-1),(SUMPRODUCT(Cash_Flows,(1+C22)^(-Years))-N(Initial_Investment)),"—")</f>
        <v>-9660.8</v>
      </c>
    </row>
    <row r="23" customFormat="false" ht="15" hidden="false" customHeight="false" outlineLevel="0" collapsed="false">
      <c r="B23" s="55" t="str">
        <f aca="false">IF(AND(ISNUMBER(IRR_Result),C23&lt;=IRR_Result,C23+$C$9&gt;IRR_Result),"IRR is in this band ►","")</f>
        <v/>
      </c>
      <c r="C23" s="42" t="n">
        <f aca="false">$C$8+11*$C$9</f>
        <v>0.275</v>
      </c>
      <c r="D23" s="30" t="n">
        <f aca="false">IF(AND(AND(COUNT(Cash_Flows)&gt;0,N(Initial_Investment)&gt;0),C23&gt;-1),(SUMPRODUCT(Cash_Flows,(1+C23)^(-Years))-N(Initial_Investment)),"—")</f>
        <v>-11643.0839144582</v>
      </c>
    </row>
    <row r="24" customFormat="false" ht="15" hidden="false" customHeight="false" outlineLevel="0" collapsed="false">
      <c r="B24" s="55" t="str">
        <f aca="false">IF(AND(ISNUMBER(IRR_Result),C24&lt;=IRR_Result,C24+$C$9&gt;IRR_Result),"IRR is in this band ►","")</f>
        <v/>
      </c>
      <c r="C24" s="42" t="n">
        <f aca="false">$C$8+12*$C$9</f>
        <v>0.3</v>
      </c>
      <c r="D24" s="30" t="n">
        <f aca="false">IF(AND(AND(COUNT(Cash_Flows)&gt;0,N(Initial_Investment)&gt;0),C24&gt;-1),(SUMPRODUCT(Cash_Flows,(1+C24)^(-Years))-N(Initial_Investment)),"—")</f>
        <v>-13466.4537171452</v>
      </c>
    </row>
    <row r="26" customFormat="false" ht="22.35" hidden="false" customHeight="false" outlineLevel="0" collapsed="false">
      <c r="B26" s="56" t="s">
        <v>107</v>
      </c>
    </row>
    <row r="27" customFormat="false" ht="15" hidden="false" customHeight="false" outlineLevel="0" collapsed="false">
      <c r="B27" s="0" t="s">
        <v>18</v>
      </c>
      <c r="C27" s="57" t="n">
        <f aca="false">N(Hurdle_Rate)</f>
        <v>0.1</v>
      </c>
    </row>
    <row r="28" customFormat="false" ht="15" hidden="false" customHeight="false" outlineLevel="0" collapsed="false">
      <c r="B28" s="0" t="s">
        <v>99</v>
      </c>
      <c r="C28" s="58" t="n">
        <f aca="false">IRR_Result</f>
        <v>0.152382371166</v>
      </c>
    </row>
    <row r="29" customFormat="false" ht="15" hidden="false" customHeight="false" outlineLevel="0" collapsed="false">
      <c r="B29" s="0" t="s">
        <v>108</v>
      </c>
      <c r="C29" s="59" t="n">
        <f aca="false">NPV_At_Hurdle</f>
        <v>6861.80154112671</v>
      </c>
    </row>
  </sheetData>
  <conditionalFormatting sqref="D12">
    <cfRule type="expression" priority="2" aboveAverage="0" equalAverage="0" bottom="0" percent="0" rank="0" text="" dxfId="4">
      <formula>AND(ISNUMBER($D$12),$D$12&lt;0)</formula>
    </cfRule>
  </conditionalFormatting>
  <conditionalFormatting sqref="D13">
    <cfRule type="expression" priority="3" aboveAverage="0" equalAverage="0" bottom="0" percent="0" rank="0" text="" dxfId="4">
      <formula>AND(ISNUMBER($D$13),$D$13&lt;0)</formula>
    </cfRule>
  </conditionalFormatting>
  <conditionalFormatting sqref="D14">
    <cfRule type="expression" priority="4" aboveAverage="0" equalAverage="0" bottom="0" percent="0" rank="0" text="" dxfId="4">
      <formula>AND(ISNUMBER($D$14),$D$14&lt;0)</formula>
    </cfRule>
  </conditionalFormatting>
  <conditionalFormatting sqref="D15">
    <cfRule type="expression" priority="5" aboveAverage="0" equalAverage="0" bottom="0" percent="0" rank="0" text="" dxfId="4">
      <formula>AND(ISNUMBER($D$15),$D$15&lt;0)</formula>
    </cfRule>
  </conditionalFormatting>
  <conditionalFormatting sqref="D16">
    <cfRule type="expression" priority="6" aboveAverage="0" equalAverage="0" bottom="0" percent="0" rank="0" text="" dxfId="4">
      <formula>AND(ISNUMBER($D$16),$D$16&lt;0)</formula>
    </cfRule>
  </conditionalFormatting>
  <conditionalFormatting sqref="D17">
    <cfRule type="expression" priority="7" aboveAverage="0" equalAverage="0" bottom="0" percent="0" rank="0" text="" dxfId="4">
      <formula>AND(ISNUMBER($D$17),$D$17&lt;0)</formula>
    </cfRule>
  </conditionalFormatting>
  <conditionalFormatting sqref="D18">
    <cfRule type="expression" priority="8" aboveAverage="0" equalAverage="0" bottom="0" percent="0" rank="0" text="" dxfId="4">
      <formula>AND(ISNUMBER($D$18),$D$18&lt;0)</formula>
    </cfRule>
  </conditionalFormatting>
  <conditionalFormatting sqref="D19">
    <cfRule type="expression" priority="9" aboveAverage="0" equalAverage="0" bottom="0" percent="0" rank="0" text="" dxfId="4">
      <formula>AND(ISNUMBER($D$19),$D$19&lt;0)</formula>
    </cfRule>
  </conditionalFormatting>
  <conditionalFormatting sqref="D20">
    <cfRule type="expression" priority="10" aboveAverage="0" equalAverage="0" bottom="0" percent="0" rank="0" text="" dxfId="4">
      <formula>AND(ISNUMBER($D$20),$D$20&lt;0)</formula>
    </cfRule>
  </conditionalFormatting>
  <conditionalFormatting sqref="D21">
    <cfRule type="expression" priority="11" aboveAverage="0" equalAverage="0" bottom="0" percent="0" rank="0" text="" dxfId="4">
      <formula>AND(ISNUMBER($D$21),$D$21&lt;0)</formula>
    </cfRule>
  </conditionalFormatting>
  <conditionalFormatting sqref="D22">
    <cfRule type="expression" priority="12" aboveAverage="0" equalAverage="0" bottom="0" percent="0" rank="0" text="" dxfId="4">
      <formula>AND(ISNUMBER($D$22),$D$22&lt;0)</formula>
    </cfRule>
  </conditionalFormatting>
  <conditionalFormatting sqref="D23">
    <cfRule type="expression" priority="13" aboveAverage="0" equalAverage="0" bottom="0" percent="0" rank="0" text="" dxfId="4">
      <formula>AND(ISNUMBER($D$23),$D$23&lt;0)</formula>
    </cfRule>
  </conditionalFormatting>
  <conditionalFormatting sqref="D24">
    <cfRule type="expression" priority="14" aboveAverage="0" equalAverage="0" bottom="0" percent="0" rank="0" text="" dxfId="4">
      <formula>AND(ISNUMBER($D$24),$D$24&lt;0)</formula>
    </cfRule>
  </conditionalFormatting>
  <dataValidations count="2">
    <dataValidation allowBlank="true" error="Enter a rate above −100%." errorStyle="stop" errorTitle="First rate" operator="greaterThan" showDropDown="false" showErrorMessage="true" showInputMessage="false" sqref="C8" type="decimal">
      <formula1>-1</formula1>
      <formula2>0</formula2>
    </dataValidation>
    <dataValidation allowBlank="true" error="Enter a step above zero, e.g. 2.5%." errorStyle="stop" errorTitle="Step" operator="greaterThan" showDropDown="false" showErrorMessage="true" showInputMessage="false" sqref="C9" type="decimal">
      <formula1>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G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6" min="3" style="0" width="17"/>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53</v>
      </c>
      <c r="C2" s="1"/>
      <c r="D2" s="1"/>
      <c r="E2" s="1"/>
      <c r="F2" s="1"/>
      <c r="G2" s="1"/>
    </row>
    <row r="3" customFormat="false" ht="19.5" hidden="false" customHeight="true" outlineLevel="0" collapsed="false">
      <c r="A3" s="1"/>
      <c r="B3" s="3" t="s">
        <v>109</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25"/>
      <c r="C7" s="26" t="s">
        <v>110</v>
      </c>
      <c r="D7" s="26" t="s">
        <v>111</v>
      </c>
      <c r="E7" s="26" t="s">
        <v>112</v>
      </c>
      <c r="F7" s="26" t="s">
        <v>113</v>
      </c>
    </row>
    <row r="8" customFormat="false" ht="23.85" hidden="false" customHeight="false" outlineLevel="0" collapsed="false">
      <c r="B8" s="44" t="s">
        <v>114</v>
      </c>
      <c r="C8" s="60" t="s">
        <v>115</v>
      </c>
      <c r="D8" s="60" t="s">
        <v>116</v>
      </c>
      <c r="E8" s="60"/>
      <c r="F8" s="60"/>
    </row>
    <row r="9" customFormat="false" ht="15" hidden="false" customHeight="false" outlineLevel="0" collapsed="false">
      <c r="B9" s="44" t="s">
        <v>64</v>
      </c>
      <c r="C9" s="19" t="n">
        <v>100000</v>
      </c>
      <c r="D9" s="19" t="n">
        <v>10000</v>
      </c>
      <c r="E9" s="19"/>
      <c r="F9" s="19"/>
    </row>
    <row r="10" customFormat="false" ht="15" hidden="false" customHeight="false" outlineLevel="0" collapsed="false">
      <c r="B10" s="44" t="s">
        <v>18</v>
      </c>
      <c r="C10" s="22" t="n">
        <v>0.12</v>
      </c>
      <c r="D10" s="22" t="n">
        <v>0.12</v>
      </c>
      <c r="E10" s="22"/>
      <c r="F10" s="22"/>
    </row>
    <row r="11" customFormat="false" ht="19.5" hidden="false" customHeight="true" outlineLevel="0" collapsed="false">
      <c r="B11" s="5" t="s">
        <v>117</v>
      </c>
      <c r="C11" s="6"/>
      <c r="D11" s="6"/>
      <c r="E11" s="6"/>
      <c r="F11" s="6"/>
    </row>
    <row r="12" customFormat="false" ht="15" hidden="false" customHeight="false" outlineLevel="0" collapsed="false">
      <c r="B12" s="61" t="n">
        <v>1</v>
      </c>
      <c r="C12" s="19" t="n">
        <v>30000</v>
      </c>
      <c r="D12" s="19" t="n">
        <v>8000</v>
      </c>
      <c r="E12" s="19"/>
      <c r="F12" s="19"/>
    </row>
    <row r="13" customFormat="false" ht="15" hidden="false" customHeight="false" outlineLevel="0" collapsed="false">
      <c r="B13" s="61" t="n">
        <v>2</v>
      </c>
      <c r="C13" s="19" t="n">
        <v>35000</v>
      </c>
      <c r="D13" s="19" t="n">
        <v>6000</v>
      </c>
      <c r="E13" s="19"/>
      <c r="F13" s="19"/>
    </row>
    <row r="14" customFormat="false" ht="15" hidden="false" customHeight="false" outlineLevel="0" collapsed="false">
      <c r="B14" s="61" t="n">
        <v>3</v>
      </c>
      <c r="C14" s="19" t="n">
        <v>40000</v>
      </c>
      <c r="D14" s="19"/>
      <c r="E14" s="19"/>
      <c r="F14" s="19"/>
    </row>
    <row r="15" customFormat="false" ht="15" hidden="false" customHeight="false" outlineLevel="0" collapsed="false">
      <c r="B15" s="61" t="n">
        <v>4</v>
      </c>
      <c r="C15" s="19" t="n">
        <v>45000</v>
      </c>
      <c r="D15" s="19"/>
      <c r="E15" s="19"/>
      <c r="F15" s="19"/>
    </row>
    <row r="16" customFormat="false" ht="15" hidden="false" customHeight="false" outlineLevel="0" collapsed="false">
      <c r="B16" s="61" t="n">
        <v>5</v>
      </c>
      <c r="C16" s="19"/>
      <c r="D16" s="19"/>
      <c r="E16" s="19"/>
      <c r="F16" s="19"/>
    </row>
    <row r="17" customFormat="false" ht="15" hidden="false" customHeight="false" outlineLevel="0" collapsed="false">
      <c r="B17" s="61" t="n">
        <v>6</v>
      </c>
      <c r="C17" s="19"/>
      <c r="D17" s="19"/>
      <c r="E17" s="19"/>
      <c r="F17" s="19"/>
    </row>
    <row r="18" customFormat="false" ht="15" hidden="false" customHeight="false" outlineLevel="0" collapsed="false">
      <c r="B18" s="61" t="n">
        <v>7</v>
      </c>
      <c r="C18" s="19"/>
      <c r="D18" s="19"/>
      <c r="E18" s="19"/>
      <c r="F18" s="19"/>
    </row>
    <row r="19" customFormat="false" ht="15" hidden="false" customHeight="false" outlineLevel="0" collapsed="false">
      <c r="B19" s="61" t="n">
        <v>8</v>
      </c>
      <c r="C19" s="19"/>
      <c r="D19" s="19"/>
      <c r="E19" s="19"/>
      <c r="F19" s="19"/>
    </row>
    <row r="20" customFormat="false" ht="15" hidden="false" customHeight="false" outlineLevel="0" collapsed="false">
      <c r="B20" s="61" t="n">
        <v>9</v>
      </c>
      <c r="C20" s="19"/>
      <c r="D20" s="19"/>
      <c r="E20" s="19"/>
      <c r="F20" s="19"/>
    </row>
    <row r="21" customFormat="false" ht="15" hidden="false" customHeight="false" outlineLevel="0" collapsed="false">
      <c r="B21" s="61" t="n">
        <v>10</v>
      </c>
      <c r="C21" s="19"/>
      <c r="D21" s="19"/>
      <c r="E21" s="19"/>
      <c r="F21" s="19"/>
    </row>
    <row r="22" customFormat="false" ht="15" hidden="false" customHeight="false" outlineLevel="0" collapsed="false">
      <c r="B22" s="61" t="n">
        <v>11</v>
      </c>
      <c r="C22" s="19"/>
      <c r="D22" s="19"/>
      <c r="E22" s="19"/>
      <c r="F22" s="19"/>
    </row>
    <row r="23" customFormat="false" ht="15" hidden="false" customHeight="false" outlineLevel="0" collapsed="false">
      <c r="B23" s="61" t="n">
        <v>12</v>
      </c>
      <c r="C23" s="19"/>
      <c r="D23" s="19"/>
      <c r="E23" s="19"/>
      <c r="F23" s="19"/>
    </row>
    <row r="24" customFormat="false" ht="15" hidden="false" customHeight="false" outlineLevel="0" collapsed="false">
      <c r="B24" s="61" t="n">
        <v>13</v>
      </c>
      <c r="C24" s="19"/>
      <c r="D24" s="19"/>
      <c r="E24" s="19"/>
      <c r="F24" s="19"/>
    </row>
    <row r="25" customFormat="false" ht="15" hidden="false" customHeight="false" outlineLevel="0" collapsed="false">
      <c r="B25" s="61" t="n">
        <v>14</v>
      </c>
      <c r="C25" s="19"/>
      <c r="D25" s="19"/>
      <c r="E25" s="19"/>
      <c r="F25" s="19"/>
    </row>
    <row r="26" customFormat="false" ht="15" hidden="false" customHeight="false" outlineLevel="0" collapsed="false">
      <c r="B26" s="61" t="n">
        <v>15</v>
      </c>
      <c r="C26" s="19"/>
      <c r="D26" s="19"/>
      <c r="E26" s="19"/>
      <c r="F26" s="19"/>
    </row>
    <row r="27" customFormat="false" ht="19.5" hidden="false" customHeight="true" outlineLevel="0" collapsed="false">
      <c r="B27" s="5" t="s">
        <v>118</v>
      </c>
      <c r="C27" s="6"/>
      <c r="D27" s="6"/>
      <c r="E27" s="6"/>
      <c r="F27" s="6"/>
    </row>
    <row r="28" customFormat="false" ht="15" hidden="false" customHeight="false" outlineLevel="0" collapsed="false">
      <c r="B28" s="44" t="s">
        <v>68</v>
      </c>
      <c r="C28" s="62" t="n">
        <f aca="false">IF(AND(COUNT(C12:C26)&gt;0,N(C9)&gt;0),IF(ISERROR(IRR(C40:C55)),"—",IRR(C40:C55)),"—")</f>
        <v>0.17093686339499</v>
      </c>
      <c r="D28" s="62" t="n">
        <f aca="false">IF(AND(COUNT(D12:D26)&gt;0,N(D9)&gt;0),IF(ISERROR(IRR(D40:D55)),"—",IRR(D40:D55)),"—")</f>
        <v>0.271779788708135</v>
      </c>
      <c r="E28" s="62" t="str">
        <f aca="false">IF(AND(COUNT(E12:E26)&gt;0,N(E9)&gt;0),IF(ISERROR(IRR(E40:E55)),"—",IRR(E40:E55)),"—")</f>
        <v>—</v>
      </c>
      <c r="F28" s="62" t="str">
        <f aca="false">IF(AND(COUNT(F12:F26)&gt;0,N(F9)&gt;0),IF(ISERROR(IRR(F40:F55)),"—",IRR(F40:F55)),"—")</f>
        <v>—</v>
      </c>
    </row>
    <row r="29" customFormat="false" ht="15" hidden="false" customHeight="false" outlineLevel="0" collapsed="false">
      <c r="B29" s="44" t="s">
        <v>119</v>
      </c>
      <c r="C29" s="30" t="n">
        <f aca="false">IF(AND(AND(COUNT(C12:C26)&gt;0,N(C9)&gt;0),N(C10)&gt;-1),NPV(N(C10),C41:C55)-N(C9),"—")</f>
        <v>11757.0234407538</v>
      </c>
      <c r="D29" s="30" t="n">
        <f aca="false">IF(AND(AND(COUNT(D12:D26)&gt;0,N(D9)&gt;0),N(D10)&gt;-1),NPV(N(D10),D41:D55)-N(D9),"—")</f>
        <v>1926.02040816326</v>
      </c>
      <c r="E29" s="30" t="str">
        <f aca="false">IF(AND(AND(COUNT(E12:E26)&gt;0,N(E9)&gt;0),N(E10)&gt;-1),NPV(N(E10),E41:E55)-N(E9),"—")</f>
        <v>—</v>
      </c>
      <c r="F29" s="30" t="str">
        <f aca="false">IF(AND(AND(COUNT(F12:F26)&gt;0,N(F9)&gt;0),N(F10)&gt;-1),NPV(N(F10),F41:F55)-N(F9),"—")</f>
        <v>—</v>
      </c>
    </row>
    <row r="30" customFormat="false" ht="15" hidden="false" customHeight="false" outlineLevel="0" collapsed="false">
      <c r="B30" s="44" t="s">
        <v>120</v>
      </c>
      <c r="C30" s="63" t="n">
        <f aca="false">IF(ISNUMBER(C28),RANK(C28,$C$28:$F$28,0),"—")</f>
        <v>2</v>
      </c>
      <c r="D30" s="63" t="n">
        <f aca="false">IF(ISNUMBER(D28),RANK(D28,$C$28:$F$28,0),"—")</f>
        <v>1</v>
      </c>
      <c r="E30" s="63" t="str">
        <f aca="false">IF(ISNUMBER(E28),RANK(E28,$C$28:$F$28,0),"—")</f>
        <v>—</v>
      </c>
      <c r="F30" s="63" t="str">
        <f aca="false">IF(ISNUMBER(F28),RANK(F28,$C$28:$F$28,0),"—")</f>
        <v>—</v>
      </c>
    </row>
    <row r="31" customFormat="false" ht="15" hidden="false" customHeight="false" outlineLevel="0" collapsed="false">
      <c r="B31" s="44" t="s">
        <v>121</v>
      </c>
      <c r="C31" s="63" t="n">
        <f aca="false">IF(ISNUMBER(C29),RANK(C29,$C$29:$F$29,0),"—")</f>
        <v>1</v>
      </c>
      <c r="D31" s="63" t="n">
        <f aca="false">IF(ISNUMBER(D29),RANK(D29,$C$29:$F$29,0),"—")</f>
        <v>2</v>
      </c>
      <c r="E31" s="63" t="str">
        <f aca="false">IF(ISNUMBER(E29),RANK(E29,$C$29:$F$29,0),"—")</f>
        <v>—</v>
      </c>
      <c r="F31" s="63" t="str">
        <f aca="false">IF(ISNUMBER(F29),RANK(F29,$C$29:$F$29,0),"—")</f>
        <v>—</v>
      </c>
    </row>
    <row r="32" customFormat="false" ht="15" hidden="false" customHeight="false" outlineLevel="0" collapsed="false">
      <c r="B32" s="44" t="s">
        <v>79</v>
      </c>
      <c r="C32" s="64" t="n">
        <f aca="false">IF(AND(COUNT(C12:C26)&gt;0,N(C9)&gt;0),SUMPRODUCT((C41:C55&lt;&gt;0)*(C40:C54&lt;&gt;0)*(SIGN(C41:C55)&lt;&gt;SIGN(C40:C54))),"—")</f>
        <v>1</v>
      </c>
      <c r="D32" s="64" t="n">
        <f aca="false">IF(AND(COUNT(D12:D26)&gt;0,N(D9)&gt;0),SUMPRODUCT((D41:D55&lt;&gt;0)*(D40:D54&lt;&gt;0)*(SIGN(D41:D55)&lt;&gt;SIGN(D40:D54))),"—")</f>
        <v>1</v>
      </c>
      <c r="E32" s="64" t="str">
        <f aca="false">IF(AND(COUNT(E12:E26)&gt;0,N(E9)&gt;0),SUMPRODUCT((E41:E55&lt;&gt;0)*(E40:E54&lt;&gt;0)*(SIGN(E41:E55)&lt;&gt;SIGN(E40:E54))),"—")</f>
        <v>—</v>
      </c>
      <c r="F32" s="64" t="str">
        <f aca="false">IF(AND(COUNT(F12:F26)&gt;0,N(F9)&gt;0),SUMPRODUCT((F41:F55&lt;&gt;0)*(F40:F54&lt;&gt;0)*(SIGN(F41:F55)&lt;&gt;SIGN(F40:F54))),"—")</f>
        <v>—</v>
      </c>
    </row>
    <row r="34" customFormat="false" ht="30" hidden="false" customHeight="true" outlineLevel="0" collapsed="false">
      <c r="B34" s="21" t="s">
        <v>122</v>
      </c>
      <c r="C34" s="21"/>
      <c r="D34" s="21"/>
      <c r="E34" s="21"/>
      <c r="F34" s="21"/>
    </row>
    <row r="35" customFormat="false" ht="15" hidden="false" customHeight="false" outlineLevel="0" collapsed="false">
      <c r="B35" s="21"/>
      <c r="C35" s="21"/>
      <c r="D35" s="21"/>
      <c r="E35" s="21"/>
      <c r="F35" s="21"/>
    </row>
    <row r="38" customFormat="false" ht="19.5" hidden="false" customHeight="true" outlineLevel="0" collapsed="false">
      <c r="B38" s="5" t="s">
        <v>123</v>
      </c>
      <c r="C38" s="6"/>
      <c r="D38" s="6"/>
      <c r="E38" s="6"/>
      <c r="F38" s="6"/>
    </row>
    <row r="39" customFormat="false" ht="15" hidden="false" customHeight="false" outlineLevel="0" collapsed="false">
      <c r="B39" s="65" t="s">
        <v>71</v>
      </c>
      <c r="C39" s="65" t="str">
        <f aca="false">IF(ISBLANK(C8),"Project 1",C8)</f>
        <v>Expansion (large)</v>
      </c>
      <c r="D39" s="65" t="str">
        <f aca="false">IF(ISBLANK(D8),"Project 2",D8)</f>
        <v>Quick upgrade (small)</v>
      </c>
      <c r="E39" s="65" t="str">
        <f aca="false">IF(ISBLANK(E8),"Project 3",E8)</f>
        <v>Project 3</v>
      </c>
      <c r="F39" s="65" t="str">
        <f aca="false">IF(ISBLANK(F8),"Project 4",F8)</f>
        <v>Project 4</v>
      </c>
    </row>
    <row r="40" customFormat="false" ht="15" hidden="false" customHeight="false" outlineLevel="0" collapsed="false">
      <c r="B40" s="51" t="n">
        <v>0</v>
      </c>
      <c r="C40" s="52" t="n">
        <f aca="false">-N(C9)</f>
        <v>-100000</v>
      </c>
      <c r="D40" s="52" t="n">
        <f aca="false">-N(D9)</f>
        <v>-10000</v>
      </c>
      <c r="E40" s="52" t="n">
        <f aca="false">-N(E9)</f>
        <v>-0</v>
      </c>
      <c r="F40" s="52" t="n">
        <f aca="false">-N(F9)</f>
        <v>-0</v>
      </c>
    </row>
    <row r="41" customFormat="false" ht="15" hidden="false" customHeight="false" outlineLevel="0" collapsed="false">
      <c r="B41" s="51" t="n">
        <v>1</v>
      </c>
      <c r="C41" s="52" t="n">
        <f aca="false">N(C12)</f>
        <v>30000</v>
      </c>
      <c r="D41" s="52" t="n">
        <f aca="false">N(D12)</f>
        <v>8000</v>
      </c>
      <c r="E41" s="52" t="n">
        <f aca="false">N(E12)</f>
        <v>0</v>
      </c>
      <c r="F41" s="52" t="n">
        <f aca="false">N(F12)</f>
        <v>0</v>
      </c>
    </row>
    <row r="42" customFormat="false" ht="15" hidden="false" customHeight="false" outlineLevel="0" collapsed="false">
      <c r="B42" s="51" t="n">
        <v>2</v>
      </c>
      <c r="C42" s="52" t="n">
        <f aca="false">N(C13)</f>
        <v>35000</v>
      </c>
      <c r="D42" s="52" t="n">
        <f aca="false">N(D13)</f>
        <v>6000</v>
      </c>
      <c r="E42" s="52" t="n">
        <f aca="false">N(E13)</f>
        <v>0</v>
      </c>
      <c r="F42" s="52" t="n">
        <f aca="false">N(F13)</f>
        <v>0</v>
      </c>
    </row>
    <row r="43" customFormat="false" ht="15" hidden="false" customHeight="false" outlineLevel="0" collapsed="false">
      <c r="B43" s="51" t="n">
        <v>3</v>
      </c>
      <c r="C43" s="52" t="n">
        <f aca="false">N(C14)</f>
        <v>40000</v>
      </c>
      <c r="D43" s="52" t="n">
        <f aca="false">N(D14)</f>
        <v>0</v>
      </c>
      <c r="E43" s="52" t="n">
        <f aca="false">N(E14)</f>
        <v>0</v>
      </c>
      <c r="F43" s="52" t="n">
        <f aca="false">N(F14)</f>
        <v>0</v>
      </c>
    </row>
    <row r="44" customFormat="false" ht="15" hidden="false" customHeight="false" outlineLevel="0" collapsed="false">
      <c r="B44" s="51" t="n">
        <v>4</v>
      </c>
      <c r="C44" s="52" t="n">
        <f aca="false">N(C15)</f>
        <v>45000</v>
      </c>
      <c r="D44" s="52" t="n">
        <f aca="false">N(D15)</f>
        <v>0</v>
      </c>
      <c r="E44" s="52" t="n">
        <f aca="false">N(E15)</f>
        <v>0</v>
      </c>
      <c r="F44" s="52" t="n">
        <f aca="false">N(F15)</f>
        <v>0</v>
      </c>
    </row>
    <row r="45" customFormat="false" ht="15" hidden="false" customHeight="false" outlineLevel="0" collapsed="false">
      <c r="B45" s="51" t="n">
        <v>5</v>
      </c>
      <c r="C45" s="52" t="n">
        <f aca="false">N(C16)</f>
        <v>0</v>
      </c>
      <c r="D45" s="52" t="n">
        <f aca="false">N(D16)</f>
        <v>0</v>
      </c>
      <c r="E45" s="52" t="n">
        <f aca="false">N(E16)</f>
        <v>0</v>
      </c>
      <c r="F45" s="52" t="n">
        <f aca="false">N(F16)</f>
        <v>0</v>
      </c>
    </row>
    <row r="46" customFormat="false" ht="15" hidden="false" customHeight="false" outlineLevel="0" collapsed="false">
      <c r="B46" s="51" t="n">
        <v>6</v>
      </c>
      <c r="C46" s="52" t="n">
        <f aca="false">N(C17)</f>
        <v>0</v>
      </c>
      <c r="D46" s="52" t="n">
        <f aca="false">N(D17)</f>
        <v>0</v>
      </c>
      <c r="E46" s="52" t="n">
        <f aca="false">N(E17)</f>
        <v>0</v>
      </c>
      <c r="F46" s="52" t="n">
        <f aca="false">N(F17)</f>
        <v>0</v>
      </c>
    </row>
    <row r="47" customFormat="false" ht="15" hidden="false" customHeight="false" outlineLevel="0" collapsed="false">
      <c r="B47" s="51" t="n">
        <v>7</v>
      </c>
      <c r="C47" s="52" t="n">
        <f aca="false">N(C18)</f>
        <v>0</v>
      </c>
      <c r="D47" s="52" t="n">
        <f aca="false">N(D18)</f>
        <v>0</v>
      </c>
      <c r="E47" s="52" t="n">
        <f aca="false">N(E18)</f>
        <v>0</v>
      </c>
      <c r="F47" s="52" t="n">
        <f aca="false">N(F18)</f>
        <v>0</v>
      </c>
    </row>
    <row r="48" customFormat="false" ht="15" hidden="false" customHeight="false" outlineLevel="0" collapsed="false">
      <c r="B48" s="51" t="n">
        <v>8</v>
      </c>
      <c r="C48" s="52" t="n">
        <f aca="false">N(C19)</f>
        <v>0</v>
      </c>
      <c r="D48" s="52" t="n">
        <f aca="false">N(D19)</f>
        <v>0</v>
      </c>
      <c r="E48" s="52" t="n">
        <f aca="false">N(E19)</f>
        <v>0</v>
      </c>
      <c r="F48" s="52" t="n">
        <f aca="false">N(F19)</f>
        <v>0</v>
      </c>
    </row>
    <row r="49" customFormat="false" ht="15" hidden="false" customHeight="false" outlineLevel="0" collapsed="false">
      <c r="B49" s="51" t="n">
        <v>9</v>
      </c>
      <c r="C49" s="52" t="n">
        <f aca="false">N(C20)</f>
        <v>0</v>
      </c>
      <c r="D49" s="52" t="n">
        <f aca="false">N(D20)</f>
        <v>0</v>
      </c>
      <c r="E49" s="52" t="n">
        <f aca="false">N(E20)</f>
        <v>0</v>
      </c>
      <c r="F49" s="52" t="n">
        <f aca="false">N(F20)</f>
        <v>0</v>
      </c>
    </row>
    <row r="50" customFormat="false" ht="15" hidden="false" customHeight="false" outlineLevel="0" collapsed="false">
      <c r="B50" s="51" t="n">
        <v>10</v>
      </c>
      <c r="C50" s="52" t="n">
        <f aca="false">N(C21)</f>
        <v>0</v>
      </c>
      <c r="D50" s="52" t="n">
        <f aca="false">N(D21)</f>
        <v>0</v>
      </c>
      <c r="E50" s="52" t="n">
        <f aca="false">N(E21)</f>
        <v>0</v>
      </c>
      <c r="F50" s="52" t="n">
        <f aca="false">N(F21)</f>
        <v>0</v>
      </c>
    </row>
    <row r="51" customFormat="false" ht="15" hidden="false" customHeight="false" outlineLevel="0" collapsed="false">
      <c r="B51" s="51" t="n">
        <v>11</v>
      </c>
      <c r="C51" s="52" t="n">
        <f aca="false">N(C22)</f>
        <v>0</v>
      </c>
      <c r="D51" s="52" t="n">
        <f aca="false">N(D22)</f>
        <v>0</v>
      </c>
      <c r="E51" s="52" t="n">
        <f aca="false">N(E22)</f>
        <v>0</v>
      </c>
      <c r="F51" s="52" t="n">
        <f aca="false">N(F22)</f>
        <v>0</v>
      </c>
    </row>
    <row r="52" customFormat="false" ht="15" hidden="false" customHeight="false" outlineLevel="0" collapsed="false">
      <c r="B52" s="51" t="n">
        <v>12</v>
      </c>
      <c r="C52" s="52" t="n">
        <f aca="false">N(C23)</f>
        <v>0</v>
      </c>
      <c r="D52" s="52" t="n">
        <f aca="false">N(D23)</f>
        <v>0</v>
      </c>
      <c r="E52" s="52" t="n">
        <f aca="false">N(E23)</f>
        <v>0</v>
      </c>
      <c r="F52" s="52" t="n">
        <f aca="false">N(F23)</f>
        <v>0</v>
      </c>
    </row>
    <row r="53" customFormat="false" ht="15" hidden="false" customHeight="false" outlineLevel="0" collapsed="false">
      <c r="B53" s="51" t="n">
        <v>13</v>
      </c>
      <c r="C53" s="52" t="n">
        <f aca="false">N(C24)</f>
        <v>0</v>
      </c>
      <c r="D53" s="52" t="n">
        <f aca="false">N(D24)</f>
        <v>0</v>
      </c>
      <c r="E53" s="52" t="n">
        <f aca="false">N(E24)</f>
        <v>0</v>
      </c>
      <c r="F53" s="52" t="n">
        <f aca="false">N(F24)</f>
        <v>0</v>
      </c>
    </row>
    <row r="54" customFormat="false" ht="15" hidden="false" customHeight="false" outlineLevel="0" collapsed="false">
      <c r="B54" s="51" t="n">
        <v>14</v>
      </c>
      <c r="C54" s="52" t="n">
        <f aca="false">N(C25)</f>
        <v>0</v>
      </c>
      <c r="D54" s="52" t="n">
        <f aca="false">N(D25)</f>
        <v>0</v>
      </c>
      <c r="E54" s="52" t="n">
        <f aca="false">N(E25)</f>
        <v>0</v>
      </c>
      <c r="F54" s="52" t="n">
        <f aca="false">N(F25)</f>
        <v>0</v>
      </c>
    </row>
    <row r="55" customFormat="false" ht="15" hidden="false" customHeight="false" outlineLevel="0" collapsed="false">
      <c r="B55" s="51" t="n">
        <v>15</v>
      </c>
      <c r="C55" s="52" t="n">
        <f aca="false">N(C26)</f>
        <v>0</v>
      </c>
      <c r="D55" s="52" t="n">
        <f aca="false">N(D26)</f>
        <v>0</v>
      </c>
      <c r="E55" s="52" t="n">
        <f aca="false">N(E26)</f>
        <v>0</v>
      </c>
      <c r="F55" s="52" t="n">
        <f aca="false">N(F26)</f>
        <v>0</v>
      </c>
    </row>
  </sheetData>
  <mergeCells count="1">
    <mergeCell ref="B34:F35"/>
  </mergeCells>
  <conditionalFormatting sqref="C29">
    <cfRule type="expression" priority="2" aboveAverage="0" equalAverage="0" bottom="0" percent="0" rank="0" text="" dxfId="1">
      <formula>AND(ISNUMBER($C$29),$C$29&lt;0)</formula>
    </cfRule>
  </conditionalFormatting>
  <conditionalFormatting sqref="D29">
    <cfRule type="expression" priority="3" aboveAverage="0" equalAverage="0" bottom="0" percent="0" rank="0" text="" dxfId="1">
      <formula>AND(ISNUMBER($D$29),$D$29&lt;0)</formula>
    </cfRule>
  </conditionalFormatting>
  <conditionalFormatting sqref="E29">
    <cfRule type="expression" priority="4" aboveAverage="0" equalAverage="0" bottom="0" percent="0" rank="0" text="" dxfId="1">
      <formula>AND(ISNUMBER($E$29),$E$29&lt;0)</formula>
    </cfRule>
  </conditionalFormatting>
  <conditionalFormatting sqref="F29">
    <cfRule type="expression" priority="5" aboveAverage="0" equalAverage="0" bottom="0" percent="0" rank="0" text="" dxfId="1">
      <formula>AND(ISNUMBER($F$29),$F$29&lt;0)</formula>
    </cfRule>
  </conditionalFormatting>
  <conditionalFormatting sqref="C30:F30">
    <cfRule type="expression" priority="6" aboveAverage="0" equalAverage="0" bottom="0" percent="0" rank="0" text="" dxfId="5">
      <formula>C30=1</formula>
    </cfRule>
  </conditionalFormatting>
  <conditionalFormatting sqref="C31:F31">
    <cfRule type="expression" priority="7" aboveAverage="0" equalAverage="0" bottom="0" percent="0" rank="0" text="" dxfId="5">
      <formula>C31=1</formula>
    </cfRule>
  </conditionalFormatting>
  <dataValidations count="3">
    <dataValidation allowBlank="true" error="Enter a rate above −100%." errorStyle="stop" errorTitle="Hurdle rate" operator="greaterThan" showDropDown="false" showErrorMessage="true" showInputMessage="false" sqref="C10:F10" type="decimal">
      <formula1>-1</formula1>
      <formula2>0</formula2>
    </dataValidation>
    <dataValidation allowBlank="true" error="Enter a number." errorStyle="stop" errorTitle="Cash flow" operator="between" showDropDown="false" showErrorMessage="true" showInputMessage="false" sqref="C12:F26" type="decimal">
      <formula1>-1000000000000000</formula1>
      <formula2>0</formula2>
    </dataValidation>
    <dataValidation allowBlank="true" error="Enter a number above zero." errorStyle="stop" errorTitle="Initial investment" operator="between" showDropDown="false" showErrorMessage="true" showInputMessage="false" sqref="C9:F9"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4" min="3" style="0" width="18"/>
    <col collapsed="false" customWidth="true" hidden="false" outlineLevel="0" max="5" min="5" style="0" width="44"/>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55</v>
      </c>
      <c r="C2" s="1"/>
      <c r="D2" s="1"/>
      <c r="E2" s="1"/>
      <c r="F2" s="1"/>
    </row>
    <row r="3" customFormat="false" ht="19.5" hidden="false" customHeight="true" outlineLevel="0" collapsed="false">
      <c r="A3" s="1"/>
      <c r="B3" s="3" t="s">
        <v>124</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5" t="s">
        <v>125</v>
      </c>
      <c r="C7" s="6"/>
      <c r="D7" s="6"/>
      <c r="E7" s="6"/>
    </row>
    <row r="8" customFormat="false" ht="43.5" hidden="false" customHeight="true" outlineLevel="0" collapsed="false">
      <c r="B8" s="7" t="s">
        <v>126</v>
      </c>
      <c r="C8" s="7"/>
      <c r="D8" s="7"/>
      <c r="E8" s="7"/>
    </row>
    <row r="9" customFormat="false" ht="18" hidden="false" customHeight="true" outlineLevel="0" collapsed="false">
      <c r="B9" s="25" t="s">
        <v>71</v>
      </c>
      <c r="C9" s="26" t="s">
        <v>72</v>
      </c>
    </row>
    <row r="10" customFormat="false" ht="22.35" hidden="false" customHeight="false" outlineLevel="0" collapsed="false">
      <c r="B10" s="66" t="n">
        <v>0</v>
      </c>
      <c r="C10" s="19" t="n">
        <v>-50000</v>
      </c>
      <c r="E10" s="56" t="s">
        <v>127</v>
      </c>
    </row>
    <row r="11" customFormat="false" ht="15" hidden="false" customHeight="false" outlineLevel="0" collapsed="false">
      <c r="B11" s="66" t="n">
        <v>1</v>
      </c>
      <c r="C11" s="19" t="n">
        <v>15000</v>
      </c>
    </row>
    <row r="12" customFormat="false" ht="15" hidden="false" customHeight="false" outlineLevel="0" collapsed="false">
      <c r="B12" s="66" t="n">
        <v>2</v>
      </c>
      <c r="C12" s="19" t="n">
        <v>15000</v>
      </c>
    </row>
    <row r="13" customFormat="false" ht="15" hidden="false" customHeight="false" outlineLevel="0" collapsed="false">
      <c r="B13" s="66" t="n">
        <v>3</v>
      </c>
      <c r="C13" s="19" t="n">
        <v>15000</v>
      </c>
    </row>
    <row r="14" customFormat="false" ht="15" hidden="false" customHeight="false" outlineLevel="0" collapsed="false">
      <c r="B14" s="66" t="n">
        <v>4</v>
      </c>
      <c r="C14" s="19" t="n">
        <v>15000</v>
      </c>
    </row>
    <row r="15" customFormat="false" ht="15" hidden="false" customHeight="false" outlineLevel="0" collapsed="false">
      <c r="B15" s="66" t="n">
        <v>5</v>
      </c>
      <c r="C15" s="19" t="n">
        <v>15000</v>
      </c>
    </row>
    <row r="16" customFormat="false" ht="15" hidden="false" customHeight="false" outlineLevel="0" collapsed="false">
      <c r="B16" s="44" t="s">
        <v>128</v>
      </c>
      <c r="D16" s="67" t="n">
        <f aca="false">SUMPRODUCT(C11:C15,(1+0.1)^-(B11:B15))+C10</f>
        <v>6861.80154112671</v>
      </c>
      <c r="E16" s="68" t="s">
        <v>129</v>
      </c>
    </row>
    <row r="17" customFormat="false" ht="15" hidden="false" customHeight="false" outlineLevel="0" collapsed="false">
      <c r="B17" s="44" t="s">
        <v>130</v>
      </c>
      <c r="D17" s="67" t="n">
        <f aca="false">SUMPRODUCT(C11:C15,(1+0.2)^-(B11:B15))+C10</f>
        <v>-5140.81790123456</v>
      </c>
      <c r="E17" s="68" t="s">
        <v>131</v>
      </c>
    </row>
    <row r="18" customFormat="false" ht="15" hidden="false" customHeight="false" outlineLevel="0" collapsed="false">
      <c r="B18" s="44" t="s">
        <v>132</v>
      </c>
      <c r="D18" s="67" t="n">
        <f aca="false">SUMPRODUCT(C11:C15,(1+0.15)^-(B11:B15))+C10</f>
        <v>282.326470171036</v>
      </c>
      <c r="E18" s="68" t="s">
        <v>133</v>
      </c>
    </row>
    <row r="19" customFormat="false" ht="15" hidden="false" customHeight="false" outlineLevel="0" collapsed="false">
      <c r="B19" s="44" t="s">
        <v>134</v>
      </c>
      <c r="D19" s="62" t="n">
        <f aca="false">IRR(C10:C15)</f>
        <v>0.152382371166306</v>
      </c>
      <c r="E19" s="68" t="s">
        <v>135</v>
      </c>
    </row>
    <row r="21" customFormat="false" ht="19.5" hidden="false" customHeight="true" outlineLevel="0" collapsed="false">
      <c r="B21" s="5" t="s">
        <v>136</v>
      </c>
      <c r="C21" s="6"/>
      <c r="D21" s="6"/>
      <c r="E21" s="6"/>
    </row>
    <row r="22" customFormat="false" ht="43.5" hidden="false" customHeight="true" outlineLevel="0" collapsed="false">
      <c r="B22" s="7" t="s">
        <v>137</v>
      </c>
      <c r="C22" s="7"/>
      <c r="D22" s="7"/>
      <c r="E22" s="7"/>
    </row>
    <row r="23" customFormat="false" ht="18" hidden="false" customHeight="true" outlineLevel="0" collapsed="false">
      <c r="B23" s="25" t="s">
        <v>71</v>
      </c>
      <c r="C23" s="26" t="s">
        <v>72</v>
      </c>
    </row>
    <row r="24" customFormat="false" ht="22.35" hidden="false" customHeight="false" outlineLevel="0" collapsed="false">
      <c r="B24" s="66" t="n">
        <v>0</v>
      </c>
      <c r="C24" s="19" t="n">
        <v>-20000</v>
      </c>
      <c r="E24" s="56" t="s">
        <v>127</v>
      </c>
    </row>
    <row r="25" customFormat="false" ht="15" hidden="false" customHeight="false" outlineLevel="0" collapsed="false">
      <c r="B25" s="66" t="n">
        <v>1</v>
      </c>
      <c r="C25" s="19" t="n">
        <v>8000</v>
      </c>
    </row>
    <row r="26" customFormat="false" ht="15" hidden="false" customHeight="false" outlineLevel="0" collapsed="false">
      <c r="B26" s="66" t="n">
        <v>2</v>
      </c>
      <c r="C26" s="19" t="n">
        <v>8000</v>
      </c>
    </row>
    <row r="27" customFormat="false" ht="15" hidden="false" customHeight="false" outlineLevel="0" collapsed="false">
      <c r="B27" s="66" t="n">
        <v>3</v>
      </c>
      <c r="C27" s="19" t="n">
        <v>8000</v>
      </c>
    </row>
    <row r="28" customFormat="false" ht="15" hidden="false" customHeight="false" outlineLevel="0" collapsed="false">
      <c r="B28" s="44" t="s">
        <v>134</v>
      </c>
      <c r="D28" s="62" t="n">
        <f aca="false">IRR(C24:C27)</f>
        <v>0.097010257403273</v>
      </c>
      <c r="E28" s="68" t="s">
        <v>138</v>
      </c>
    </row>
    <row r="29" customFormat="false" ht="15" hidden="false" customHeight="false" outlineLevel="0" collapsed="false">
      <c r="B29" s="44" t="s">
        <v>139</v>
      </c>
      <c r="D29" s="69" t="n">
        <f aca="false">(0.1-D28)*100</f>
        <v>0.2989742596727</v>
      </c>
      <c r="E29" s="68" t="s">
        <v>140</v>
      </c>
    </row>
    <row r="30" customFormat="false" ht="15" hidden="false" customHeight="false" outlineLevel="0" collapsed="false">
      <c r="B30" s="44" t="s">
        <v>141</v>
      </c>
      <c r="D30" s="67" t="n">
        <f aca="false">SUMPRODUCT(C25:C27,(1+0.1)^-(B25:B27))+C24</f>
        <v>-105.184072126223</v>
      </c>
      <c r="E30" s="68" t="s">
        <v>142</v>
      </c>
    </row>
    <row r="32" customFormat="false" ht="19.5" hidden="false" customHeight="true" outlineLevel="0" collapsed="false">
      <c r="B32" s="5" t="s">
        <v>143</v>
      </c>
      <c r="C32" s="6"/>
      <c r="D32" s="6"/>
      <c r="E32" s="6"/>
    </row>
    <row r="33" customFormat="false" ht="43.5" hidden="false" customHeight="true" outlineLevel="0" collapsed="false">
      <c r="B33" s="7" t="s">
        <v>144</v>
      </c>
      <c r="C33" s="7"/>
      <c r="D33" s="7"/>
      <c r="E33" s="7"/>
    </row>
    <row r="34" customFormat="false" ht="18" hidden="false" customHeight="true" outlineLevel="0" collapsed="false">
      <c r="B34" s="25" t="s">
        <v>71</v>
      </c>
      <c r="C34" s="26" t="s">
        <v>72</v>
      </c>
    </row>
    <row r="35" customFormat="false" ht="22.35" hidden="false" customHeight="false" outlineLevel="0" collapsed="false">
      <c r="B35" s="66" t="n">
        <v>0</v>
      </c>
      <c r="C35" s="19" t="n">
        <v>-100000</v>
      </c>
      <c r="E35" s="56" t="s">
        <v>127</v>
      </c>
    </row>
    <row r="36" customFormat="false" ht="15" hidden="false" customHeight="false" outlineLevel="0" collapsed="false">
      <c r="B36" s="66" t="n">
        <v>1</v>
      </c>
      <c r="C36" s="19" t="n">
        <v>30000</v>
      </c>
    </row>
    <row r="37" customFormat="false" ht="15" hidden="false" customHeight="false" outlineLevel="0" collapsed="false">
      <c r="B37" s="66" t="n">
        <v>2</v>
      </c>
      <c r="C37" s="19" t="n">
        <v>35000</v>
      </c>
    </row>
    <row r="38" customFormat="false" ht="15" hidden="false" customHeight="false" outlineLevel="0" collapsed="false">
      <c r="B38" s="66" t="n">
        <v>3</v>
      </c>
      <c r="C38" s="19" t="n">
        <v>40000</v>
      </c>
    </row>
    <row r="39" customFormat="false" ht="15" hidden="false" customHeight="false" outlineLevel="0" collapsed="false">
      <c r="B39" s="66" t="n">
        <v>4</v>
      </c>
      <c r="C39" s="19" t="n">
        <v>45000</v>
      </c>
    </row>
    <row r="40" customFormat="false" ht="15" hidden="false" customHeight="false" outlineLevel="0" collapsed="false">
      <c r="B40" s="44" t="s">
        <v>145</v>
      </c>
      <c r="D40" s="67" t="n">
        <f aca="false">SUM(C36:C39)</f>
        <v>150000</v>
      </c>
      <c r="E40" s="68" t="s">
        <v>146</v>
      </c>
    </row>
    <row r="41" customFormat="false" ht="15" hidden="false" customHeight="false" outlineLevel="0" collapsed="false">
      <c r="B41" s="44" t="s">
        <v>134</v>
      </c>
      <c r="D41" s="62" t="n">
        <f aca="false">IRR(C35:C39)</f>
        <v>0.17093686339499</v>
      </c>
      <c r="E41" s="68" t="s">
        <v>147</v>
      </c>
    </row>
    <row r="42" customFormat="false" ht="15" hidden="false" customHeight="false" outlineLevel="0" collapsed="false">
      <c r="B42" s="44" t="s">
        <v>148</v>
      </c>
      <c r="D42" s="67" t="n">
        <f aca="false">SUMPRODUCT(C36:C39,(1+0.12)^-(B36:B39))+C35</f>
        <v>11757.0234407538</v>
      </c>
      <c r="E42" s="68" t="s">
        <v>149</v>
      </c>
    </row>
    <row r="44" customFormat="false" ht="19.5" hidden="false" customHeight="true" outlineLevel="0" collapsed="false">
      <c r="B44" s="5" t="s">
        <v>150</v>
      </c>
      <c r="C44" s="6"/>
      <c r="D44" s="6"/>
      <c r="E44" s="6"/>
    </row>
    <row r="45" customFormat="false" ht="43.5" hidden="false" customHeight="true" outlineLevel="0" collapsed="false">
      <c r="B45" s="7" t="s">
        <v>151</v>
      </c>
      <c r="C45" s="7"/>
      <c r="D45" s="7"/>
      <c r="E45" s="7"/>
    </row>
    <row r="46" customFormat="false" ht="18" hidden="false" customHeight="true" outlineLevel="0" collapsed="false">
      <c r="B46" s="25" t="s">
        <v>71</v>
      </c>
      <c r="C46" s="26" t="s">
        <v>72</v>
      </c>
    </row>
    <row r="47" customFormat="false" ht="22.35" hidden="false" customHeight="false" outlineLevel="0" collapsed="false">
      <c r="B47" s="66" t="n">
        <v>0</v>
      </c>
      <c r="C47" s="19" t="n">
        <v>-100</v>
      </c>
      <c r="E47" s="56" t="s">
        <v>127</v>
      </c>
    </row>
    <row r="48" customFormat="false" ht="15" hidden="false" customHeight="false" outlineLevel="0" collapsed="false">
      <c r="B48" s="66" t="n">
        <v>1</v>
      </c>
      <c r="C48" s="19" t="n">
        <v>230</v>
      </c>
    </row>
    <row r="49" customFormat="false" ht="15" hidden="false" customHeight="false" outlineLevel="0" collapsed="false">
      <c r="B49" s="66" t="n">
        <v>2</v>
      </c>
      <c r="C49" s="19" t="n">
        <v>-132</v>
      </c>
    </row>
    <row r="50" customFormat="false" ht="15" hidden="false" customHeight="false" outlineLevel="0" collapsed="false">
      <c r="B50" s="44" t="s">
        <v>141</v>
      </c>
      <c r="D50" s="70" t="n">
        <f aca="false">SUMPRODUCT(C48:C49,(1+0.1)^-(B48:B49))+C47</f>
        <v>0</v>
      </c>
      <c r="E50" s="68" t="s">
        <v>152</v>
      </c>
    </row>
    <row r="51" customFormat="false" ht="15" hidden="false" customHeight="false" outlineLevel="0" collapsed="false">
      <c r="B51" s="44" t="s">
        <v>153</v>
      </c>
      <c r="D51" s="70" t="n">
        <f aca="false">SUMPRODUCT(C48:C49,(1+0.2)^-(B48:B49))+C47</f>
        <v>0</v>
      </c>
      <c r="E51" s="68" t="s">
        <v>154</v>
      </c>
    </row>
    <row r="52" customFormat="false" ht="15" hidden="false" customHeight="false" outlineLevel="0" collapsed="false">
      <c r="B52" s="44" t="s">
        <v>155</v>
      </c>
      <c r="D52" s="62" t="n">
        <f aca="false">IRR(C47:C49,0.05)</f>
        <v>0.0999999999999915</v>
      </c>
      <c r="E52" s="68" t="s">
        <v>156</v>
      </c>
    </row>
    <row r="53" customFormat="false" ht="15" hidden="false" customHeight="false" outlineLevel="0" collapsed="false">
      <c r="B53" s="44" t="s">
        <v>157</v>
      </c>
      <c r="D53" s="62" t="n">
        <f aca="false">IRR(C47:C49,0.25)</f>
        <v>0.199999999999999</v>
      </c>
      <c r="E53" s="68" t="s">
        <v>158</v>
      </c>
    </row>
    <row r="55" customFormat="false" ht="15" hidden="false" customHeight="true" outlineLevel="0" collapsed="false">
      <c r="B55" s="15" t="s">
        <v>159</v>
      </c>
      <c r="C55" s="15"/>
      <c r="D55" s="15"/>
      <c r="E55" s="15"/>
    </row>
  </sheetData>
  <mergeCells count="5">
    <mergeCell ref="B8:E8"/>
    <mergeCell ref="B22:E22"/>
    <mergeCell ref="B33:E33"/>
    <mergeCell ref="B45:E45"/>
    <mergeCell ref="B55:E55"/>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57</v>
      </c>
      <c r="C2" s="1"/>
      <c r="D2" s="1"/>
      <c r="E2" s="1"/>
    </row>
    <row r="3" customFormat="false" ht="19.5" hidden="false" customHeight="true" outlineLevel="0" collapsed="false">
      <c r="A3" s="1"/>
      <c r="B3" s="3" t="s">
        <v>160</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161</v>
      </c>
      <c r="C7" s="6"/>
      <c r="D7" s="6"/>
    </row>
    <row r="8" customFormat="false" ht="19.5" hidden="false" customHeight="true" outlineLevel="0" collapsed="false">
      <c r="B8" s="25" t="s">
        <v>162</v>
      </c>
      <c r="C8" s="26" t="s">
        <v>163</v>
      </c>
      <c r="D8" s="26" t="s">
        <v>164</v>
      </c>
    </row>
    <row r="9" customFormat="false" ht="30" hidden="false" customHeight="true" outlineLevel="0" collapsed="false">
      <c r="B9" s="71" t="s">
        <v>165</v>
      </c>
      <c r="C9" s="72" t="s">
        <v>166</v>
      </c>
      <c r="D9" s="73" t="s">
        <v>167</v>
      </c>
    </row>
    <row r="10" customFormat="false" ht="51.75" hidden="false" customHeight="true" outlineLevel="0" collapsed="false">
      <c r="B10" s="71" t="s">
        <v>99</v>
      </c>
      <c r="C10" s="72" t="s">
        <v>168</v>
      </c>
      <c r="D10" s="73" t="s">
        <v>169</v>
      </c>
    </row>
    <row r="11" customFormat="false" ht="30" hidden="false" customHeight="true" outlineLevel="0" collapsed="false">
      <c r="B11" s="71" t="s">
        <v>170</v>
      </c>
      <c r="C11" s="72" t="s">
        <v>171</v>
      </c>
      <c r="D11" s="73" t="s">
        <v>172</v>
      </c>
    </row>
    <row r="12" customFormat="false" ht="30" hidden="false" customHeight="true" outlineLevel="0" collapsed="false">
      <c r="B12" s="71" t="s">
        <v>76</v>
      </c>
      <c r="C12" s="72" t="s">
        <v>173</v>
      </c>
      <c r="D12" s="73" t="s">
        <v>174</v>
      </c>
    </row>
    <row r="13" customFormat="false" ht="30" hidden="false" customHeight="true" outlineLevel="0" collapsed="false">
      <c r="B13" s="71" t="s">
        <v>108</v>
      </c>
      <c r="C13" s="72" t="s">
        <v>175</v>
      </c>
      <c r="D13" s="73" t="s">
        <v>176</v>
      </c>
    </row>
    <row r="14" customFormat="false" ht="30" hidden="false" customHeight="true" outlineLevel="0" collapsed="false">
      <c r="B14" s="71" t="s">
        <v>79</v>
      </c>
      <c r="C14" s="72" t="s">
        <v>177</v>
      </c>
      <c r="D14" s="73" t="s">
        <v>178</v>
      </c>
    </row>
    <row r="16" customFormat="false" ht="19.5" hidden="false" customHeight="true" outlineLevel="0" collapsed="false">
      <c r="B16" s="5" t="s">
        <v>179</v>
      </c>
      <c r="C16" s="6"/>
      <c r="D16" s="6"/>
    </row>
    <row r="17" customFormat="false" ht="30" hidden="false" customHeight="true" outlineLevel="0" collapsed="false">
      <c r="B17" s="7" t="s">
        <v>180</v>
      </c>
      <c r="C17" s="7"/>
      <c r="D17" s="7"/>
    </row>
    <row r="18" customFormat="false" ht="30" hidden="false" customHeight="true" outlineLevel="0" collapsed="false">
      <c r="B18" s="7" t="s">
        <v>181</v>
      </c>
      <c r="C18" s="7"/>
      <c r="D18" s="7"/>
    </row>
    <row r="19" customFormat="false" ht="30" hidden="false" customHeight="true" outlineLevel="0" collapsed="false">
      <c r="B19" s="7" t="s">
        <v>182</v>
      </c>
      <c r="C19" s="7"/>
      <c r="D19" s="7"/>
    </row>
    <row r="20" customFormat="false" ht="18" hidden="false" customHeight="true" outlineLevel="0" collapsed="false">
      <c r="B20" s="7" t="s">
        <v>183</v>
      </c>
      <c r="C20" s="7"/>
      <c r="D20" s="7"/>
    </row>
    <row r="21" customFormat="false" ht="30" hidden="false" customHeight="true" outlineLevel="0" collapsed="false">
      <c r="B21" s="7" t="s">
        <v>184</v>
      </c>
      <c r="C21" s="7"/>
      <c r="D21" s="7"/>
    </row>
    <row r="23" customFormat="false" ht="19.5" hidden="false" customHeight="true" outlineLevel="0" collapsed="false">
      <c r="B23" s="5" t="s">
        <v>185</v>
      </c>
      <c r="C23" s="6"/>
      <c r="D23" s="6"/>
    </row>
    <row r="24" customFormat="false" ht="18" hidden="false" customHeight="true" outlineLevel="0" collapsed="false">
      <c r="B24" s="8" t="s">
        <v>186</v>
      </c>
      <c r="C24" s="7"/>
      <c r="D24" s="7"/>
    </row>
    <row r="25" customFormat="false" ht="18" hidden="false" customHeight="true" outlineLevel="0" collapsed="false">
      <c r="B25" s="8" t="s">
        <v>99</v>
      </c>
      <c r="C25" s="74" t="s">
        <v>187</v>
      </c>
      <c r="D25" s="74"/>
    </row>
    <row r="26" customFormat="false" ht="18" hidden="false" customHeight="true" outlineLevel="0" collapsed="false">
      <c r="B26" s="8" t="s">
        <v>188</v>
      </c>
      <c r="C26" s="74" t="s">
        <v>189</v>
      </c>
      <c r="D26" s="74"/>
    </row>
    <row r="27" customFormat="false" ht="18" hidden="false" customHeight="true" outlineLevel="0" collapsed="false">
      <c r="B27" s="8" t="s">
        <v>190</v>
      </c>
      <c r="C27" s="74" t="s">
        <v>191</v>
      </c>
      <c r="D27" s="74"/>
    </row>
    <row r="28" customFormat="false" ht="18" hidden="false" customHeight="true" outlineLevel="0" collapsed="false">
      <c r="B28" s="8" t="s">
        <v>192</v>
      </c>
      <c r="C28" s="74" t="s">
        <v>193</v>
      </c>
      <c r="D28" s="74"/>
    </row>
    <row r="30" customFormat="false" ht="19.5" hidden="false" customHeight="true" outlineLevel="0" collapsed="false">
      <c r="B30" s="5" t="s">
        <v>194</v>
      </c>
      <c r="C30" s="6"/>
      <c r="D30" s="6"/>
    </row>
    <row r="31" customFormat="false" ht="15" hidden="false" customHeight="false" outlineLevel="0" collapsed="false">
      <c r="B31" s="75" t="s">
        <v>195</v>
      </c>
      <c r="C31" s="18" t="s">
        <v>196</v>
      </c>
    </row>
    <row r="32" customFormat="false" ht="15" hidden="false" customHeight="false" outlineLevel="0" collapsed="false">
      <c r="B32" s="75" t="s">
        <v>197</v>
      </c>
      <c r="C32" s="18" t="s">
        <v>198</v>
      </c>
    </row>
    <row r="33" customFormat="false" ht="15" hidden="false" customHeight="false" outlineLevel="0" collapsed="false">
      <c r="B33" s="75" t="s">
        <v>199</v>
      </c>
      <c r="C33" s="18" t="s">
        <v>200</v>
      </c>
    </row>
    <row r="34" customFormat="false" ht="15" hidden="false" customHeight="false" outlineLevel="0" collapsed="false">
      <c r="B34" s="75" t="s">
        <v>201</v>
      </c>
      <c r="C34" s="18" t="s">
        <v>202</v>
      </c>
    </row>
    <row r="35" customFormat="false" ht="15" hidden="false" customHeight="false" outlineLevel="0" collapsed="false">
      <c r="B35" s="75" t="s">
        <v>203</v>
      </c>
      <c r="C35" s="18" t="s">
        <v>204</v>
      </c>
    </row>
    <row r="36" customFormat="false" ht="15" hidden="false" customHeight="false" outlineLevel="0" collapsed="false">
      <c r="B36" s="75" t="s">
        <v>205</v>
      </c>
      <c r="C36" s="18" t="s">
        <v>206</v>
      </c>
    </row>
    <row r="37" customFormat="false" ht="15" hidden="false" customHeight="false" outlineLevel="0" collapsed="false">
      <c r="B37" s="75" t="s">
        <v>207</v>
      </c>
      <c r="C37" s="18" t="s">
        <v>208</v>
      </c>
    </row>
    <row r="38" customFormat="false" ht="15" hidden="false" customHeight="false" outlineLevel="0" collapsed="false">
      <c r="B38" s="75" t="s">
        <v>209</v>
      </c>
      <c r="C38" s="18" t="s">
        <v>210</v>
      </c>
    </row>
    <row r="39" customFormat="false" ht="15" hidden="false" customHeight="false" outlineLevel="0" collapsed="false">
      <c r="B39" s="75" t="s">
        <v>211</v>
      </c>
      <c r="C39" s="18" t="s">
        <v>212</v>
      </c>
    </row>
  </sheetData>
  <mergeCells count="10">
    <mergeCell ref="B17:D17"/>
    <mergeCell ref="B18:D18"/>
    <mergeCell ref="B19:D19"/>
    <mergeCell ref="B20:D20"/>
    <mergeCell ref="B21:D21"/>
    <mergeCell ref="C24:D24"/>
    <mergeCell ref="C25:D25"/>
    <mergeCell ref="C26:D26"/>
    <mergeCell ref="C27:D27"/>
    <mergeCell ref="C28:D28"/>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59</v>
      </c>
      <c r="C2" s="1"/>
      <c r="D2" s="1"/>
      <c r="E2" s="1"/>
      <c r="F2" s="1"/>
    </row>
    <row r="3" customFormat="false" ht="19.5" hidden="false" customHeight="true" outlineLevel="0" collapsed="false">
      <c r="A3" s="1"/>
      <c r="B3" s="3" t="s">
        <v>213</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25" t="s">
        <v>214</v>
      </c>
      <c r="C7" s="26" t="s">
        <v>215</v>
      </c>
      <c r="D7" s="26" t="s">
        <v>216</v>
      </c>
      <c r="E7" s="26" t="s">
        <v>162</v>
      </c>
    </row>
    <row r="8" customFormat="false" ht="15" hidden="false" customHeight="false" outlineLevel="0" collapsed="false">
      <c r="B8" s="76" t="s">
        <v>217</v>
      </c>
      <c r="C8" s="77" t="n">
        <f aca="false">'Worked Examples'!D16</f>
        <v>6861.80154112671</v>
      </c>
      <c r="D8" s="78" t="n">
        <v>6861.8</v>
      </c>
      <c r="E8" s="79" t="str">
        <f aca="false">IF(ISNUMBER(C8),IF(ROUND(C8,2)=ROUND(D8,2),"PASS","FAIL"),"FAIL")</f>
        <v>PASS</v>
      </c>
    </row>
    <row r="9" customFormat="false" ht="15" hidden="false" customHeight="false" outlineLevel="0" collapsed="false">
      <c r="B9" s="76" t="s">
        <v>218</v>
      </c>
      <c r="C9" s="77" t="n">
        <f aca="false">'Worked Examples'!D17</f>
        <v>-5140.81790123456</v>
      </c>
      <c r="D9" s="78" t="n">
        <v>-5140.82</v>
      </c>
      <c r="E9" s="79" t="str">
        <f aca="false">IF(ISNUMBER(C9),IF(ROUND(C9,2)=ROUND(D9,2),"PASS","FAIL"),"FAIL")</f>
        <v>PASS</v>
      </c>
    </row>
    <row r="10" customFormat="false" ht="15" hidden="false" customHeight="false" outlineLevel="0" collapsed="false">
      <c r="B10" s="76" t="s">
        <v>219</v>
      </c>
      <c r="C10" s="77" t="n">
        <f aca="false">'Worked Examples'!D18</f>
        <v>282.326470171036</v>
      </c>
      <c r="D10" s="78" t="n">
        <v>282.33</v>
      </c>
      <c r="E10" s="79" t="str">
        <f aca="false">IF(ISNUMBER(C10),IF(ROUND(C10,2)=ROUND(D10,2),"PASS","FAIL"),"FAIL")</f>
        <v>PASS</v>
      </c>
    </row>
    <row r="11" customFormat="false" ht="15" hidden="false" customHeight="false" outlineLevel="0" collapsed="false">
      <c r="B11" s="76" t="s">
        <v>220</v>
      </c>
      <c r="C11" s="80" t="n">
        <f aca="false">'Worked Examples'!D19</f>
        <v>0.152382371166306</v>
      </c>
      <c r="D11" s="81" t="n">
        <v>0.1524</v>
      </c>
      <c r="E11" s="79" t="str">
        <f aca="false">IF(ISNUMBER(C11),IF(ROUND(C11,4)=ROUND(D11,4),"PASS","FAIL"),"FAIL")</f>
        <v>PASS</v>
      </c>
    </row>
    <row r="12" customFormat="false" ht="15" hidden="false" customHeight="false" outlineLevel="0" collapsed="false">
      <c r="B12" s="76" t="s">
        <v>221</v>
      </c>
      <c r="C12" s="80" t="n">
        <f aca="false">'Worked Examples'!D28</f>
        <v>0.097010257403273</v>
      </c>
      <c r="D12" s="81" t="n">
        <v>0.097</v>
      </c>
      <c r="E12" s="79" t="str">
        <f aca="false">IF(ISNUMBER(C12),IF(ROUND(C12,4)=ROUND(D12,4),"PASS","FAIL"),"FAIL")</f>
        <v>PASS</v>
      </c>
    </row>
    <row r="13" customFormat="false" ht="15" hidden="false" customHeight="false" outlineLevel="0" collapsed="false">
      <c r="B13" s="76" t="s">
        <v>222</v>
      </c>
      <c r="C13" s="82" t="n">
        <f aca="false">'Worked Examples'!D29</f>
        <v>0.2989742596727</v>
      </c>
      <c r="D13" s="83" t="n">
        <v>0.3</v>
      </c>
      <c r="E13" s="79" t="str">
        <f aca="false">IF(ISNUMBER(C13),IF(ROUND(C13,2)=ROUND(D13,2),"PASS","FAIL"),"FAIL")</f>
        <v>PASS</v>
      </c>
    </row>
    <row r="14" customFormat="false" ht="15" hidden="false" customHeight="false" outlineLevel="0" collapsed="false">
      <c r="B14" s="76" t="s">
        <v>223</v>
      </c>
      <c r="C14" s="77" t="n">
        <f aca="false">'Worked Examples'!D30</f>
        <v>-105.184072126223</v>
      </c>
      <c r="D14" s="78" t="n">
        <v>-105.18</v>
      </c>
      <c r="E14" s="79" t="str">
        <f aca="false">IF(ISNUMBER(C14),IF(ROUND(C14,2)=ROUND(D14,2),"PASS","FAIL"),"FAIL")</f>
        <v>PASS</v>
      </c>
    </row>
    <row r="15" customFormat="false" ht="15" hidden="false" customHeight="false" outlineLevel="0" collapsed="false">
      <c r="B15" s="76" t="s">
        <v>224</v>
      </c>
      <c r="C15" s="77" t="n">
        <f aca="false">'Worked Examples'!D40</f>
        <v>150000</v>
      </c>
      <c r="D15" s="78" t="n">
        <v>150000</v>
      </c>
      <c r="E15" s="79" t="str">
        <f aca="false">IF(ISNUMBER(C15),IF(ROUND(C15,2)=ROUND(D15,2),"PASS","FAIL"),"FAIL")</f>
        <v>PASS</v>
      </c>
    </row>
    <row r="16" customFormat="false" ht="15" hidden="false" customHeight="false" outlineLevel="0" collapsed="false">
      <c r="B16" s="76" t="s">
        <v>225</v>
      </c>
      <c r="C16" s="80" t="n">
        <f aca="false">'Worked Examples'!D41</f>
        <v>0.17093686339499</v>
      </c>
      <c r="D16" s="81" t="n">
        <v>0.1709</v>
      </c>
      <c r="E16" s="79" t="str">
        <f aca="false">IF(ISNUMBER(C16),IF(ROUND(C16,4)=ROUND(D16,4),"PASS","FAIL"),"FAIL")</f>
        <v>PASS</v>
      </c>
    </row>
    <row r="17" customFormat="false" ht="15" hidden="false" customHeight="false" outlineLevel="0" collapsed="false">
      <c r="B17" s="76" t="s">
        <v>226</v>
      </c>
      <c r="C17" s="77" t="n">
        <f aca="false">'Worked Examples'!D42</f>
        <v>11757.0234407538</v>
      </c>
      <c r="D17" s="78" t="n">
        <v>11757.02</v>
      </c>
      <c r="E17" s="79" t="str">
        <f aca="false">IF(ISNUMBER(C17),IF(ROUND(C17,2)=ROUND(D17,2),"PASS","FAIL"),"FAIL")</f>
        <v>PASS</v>
      </c>
    </row>
    <row r="18" customFormat="false" ht="15" hidden="false" customHeight="false" outlineLevel="0" collapsed="false">
      <c r="B18" s="76" t="s">
        <v>227</v>
      </c>
      <c r="C18" s="80" t="n">
        <f aca="false">'Worked Examples'!D52</f>
        <v>0.0999999999999915</v>
      </c>
      <c r="D18" s="81" t="n">
        <v>0.1</v>
      </c>
      <c r="E18" s="79" t="str">
        <f aca="false">IF(ISNUMBER(C18),IF(ROUND(C18,6)=ROUND(D18,6),"PASS","FAIL"),"FAIL")</f>
        <v>PASS</v>
      </c>
    </row>
    <row r="19" customFormat="false" ht="15" hidden="false" customHeight="false" outlineLevel="0" collapsed="false">
      <c r="B19" s="76" t="s">
        <v>228</v>
      </c>
      <c r="C19" s="80" t="n">
        <f aca="false">'Worked Examples'!D53</f>
        <v>0.199999999999999</v>
      </c>
      <c r="D19" s="81" t="n">
        <v>0.2</v>
      </c>
      <c r="E19" s="79" t="str">
        <f aca="false">IF(ISNUMBER(C19),IF(ROUND(C19,6)=ROUND(D19,6),"PASS","FAIL"),"FAIL")</f>
        <v>PASS</v>
      </c>
    </row>
    <row r="20" customFormat="false" ht="27.75" hidden="false" customHeight="true" outlineLevel="0" collapsed="false">
      <c r="B20" s="76" t="s">
        <v>229</v>
      </c>
      <c r="C20" s="84"/>
      <c r="D20" s="84"/>
      <c r="E20" s="79" t="str">
        <f aca="false">IF(ISNUMBER(IRR_Result),IF(ABS((SUMPRODUCT(Cash_Flows,(1+IRR_Result)^(-Years))-N(Initial_Investment)))&lt;=0.000001*MAX(1,N(Initial_Investment)),"PASS","FAIL"),"N/A")</f>
        <v>PASS</v>
      </c>
    </row>
    <row r="21" customFormat="false" ht="27.75" hidden="false" customHeight="true" outlineLevel="0" collapsed="false">
      <c r="B21" s="76" t="s">
        <v>230</v>
      </c>
      <c r="C21" s="84"/>
      <c r="D21" s="84"/>
      <c r="E21" s="79" t="str">
        <f aca="false">IF(AND(ISNUMBER(IRR_Result),Sign_Changes=1),IF(ABS(IRR(IRR_Series,IRR_Result)-IRR_Result)&lt;0.0000001,"PASS","FAIL"),"N/A")</f>
        <v>PASS</v>
      </c>
    </row>
    <row r="22" customFormat="false" ht="27.75" hidden="false" customHeight="true" outlineLevel="0" collapsed="false">
      <c r="B22" s="76" t="s">
        <v>231</v>
      </c>
      <c r="C22" s="84"/>
      <c r="D22" s="84"/>
      <c r="E22" s="79" t="str">
        <f aca="false">IF(AND(ISNUMBER(IRR_Result),ISNUMBER(NPV_At_Hurdle)),IF(ABS(Margin_Pts)&gt;0.000001,IF((Margin_Pts&gt;0)=(NPV_At_Hurdle&gt;0),"PASS","FAIL"),"N/A"),"N/A")</f>
        <v>PASS</v>
      </c>
    </row>
    <row r="23" customFormat="false" ht="27.75" hidden="false" customHeight="true" outlineLevel="0" collapsed="false">
      <c r="B23" s="76" t="s">
        <v>232</v>
      </c>
      <c r="C23" s="84"/>
      <c r="D23" s="84"/>
      <c r="E23" s="79" t="str">
        <f aca="false">IF(OR(COUNTIF(Cash_Flows,"&lt;0")&gt;0,COUNT(Profile_NPV)&lt;13),"N/A",IF(SUMPRODUCT(--('NPV Profile'!D13:D24&gt;'NPV Profile'!D12:D23+0.000001))=0,"PASS","FAIL"))</f>
        <v>PASS</v>
      </c>
    </row>
    <row r="24" customFormat="false" ht="27.75" hidden="false" customHeight="true" outlineLevel="0" collapsed="false">
      <c r="B24" s="76" t="s">
        <v>233</v>
      </c>
      <c r="C24" s="84"/>
      <c r="D24" s="84"/>
      <c r="E24" s="79" t="str">
        <f aca="false">IF(AND('Compare Projects'!C9=100000,'Compare Projects'!D9=10000),IF(AND('Compare Projects'!D30=1,'Compare Projects'!C31=1),"PASS","FAIL"),"N/A")</f>
        <v>PASS</v>
      </c>
    </row>
    <row r="26" customFormat="false" ht="15" hidden="false" customHeight="false" outlineLevel="0" collapsed="false">
      <c r="B26" s="85" t="s">
        <v>234</v>
      </c>
      <c r="E26" s="86" t="str">
        <f aca="false">IF(AND(COUNTIF(E8:E24,"FAIL")=0,SUMPRODUCT(--ISERROR(C8:E24))=0),"ALL PASS","REVIEW")</f>
        <v>ALL PASS</v>
      </c>
    </row>
    <row r="28" customFormat="false" ht="43.5" hidden="false" customHeight="true" outlineLevel="0" collapsed="false">
      <c r="B28" s="21" t="s">
        <v>235</v>
      </c>
      <c r="C28" s="21"/>
      <c r="D28" s="21"/>
      <c r="E28" s="21"/>
    </row>
  </sheetData>
  <mergeCells count="1">
    <mergeCell ref="B28:E28"/>
  </mergeCells>
  <conditionalFormatting sqref="E8">
    <cfRule type="expression" priority="2" aboveAverage="0" equalAverage="0" bottom="0" percent="0" rank="0" text="" dxfId="6">
      <formula>E8="FAIL"</formula>
    </cfRule>
  </conditionalFormatting>
  <conditionalFormatting sqref="E9">
    <cfRule type="expression" priority="3" aboveAverage="0" equalAverage="0" bottom="0" percent="0" rank="0" text="" dxfId="6">
      <formula>E9="FAIL"</formula>
    </cfRule>
  </conditionalFormatting>
  <conditionalFormatting sqref="E10">
    <cfRule type="expression" priority="4" aboveAverage="0" equalAverage="0" bottom="0" percent="0" rank="0" text="" dxfId="6">
      <formula>E10="FAIL"</formula>
    </cfRule>
  </conditionalFormatting>
  <conditionalFormatting sqref="E11">
    <cfRule type="expression" priority="5" aboveAverage="0" equalAverage="0" bottom="0" percent="0" rank="0" text="" dxfId="6">
      <formula>E11="FAIL"</formula>
    </cfRule>
  </conditionalFormatting>
  <conditionalFormatting sqref="E12">
    <cfRule type="expression" priority="6" aboveAverage="0" equalAverage="0" bottom="0" percent="0" rank="0" text="" dxfId="6">
      <formula>E12="FAIL"</formula>
    </cfRule>
  </conditionalFormatting>
  <conditionalFormatting sqref="E13">
    <cfRule type="expression" priority="7" aboveAverage="0" equalAverage="0" bottom="0" percent="0" rank="0" text="" dxfId="6">
      <formula>E13="FAIL"</formula>
    </cfRule>
  </conditionalFormatting>
  <conditionalFormatting sqref="E14">
    <cfRule type="expression" priority="8" aboveAverage="0" equalAverage="0" bottom="0" percent="0" rank="0" text="" dxfId="6">
      <formula>E14="FAIL"</formula>
    </cfRule>
  </conditionalFormatting>
  <conditionalFormatting sqref="E15">
    <cfRule type="expression" priority="9" aboveAverage="0" equalAverage="0" bottom="0" percent="0" rank="0" text="" dxfId="6">
      <formula>E15="FAIL"</formula>
    </cfRule>
  </conditionalFormatting>
  <conditionalFormatting sqref="E16">
    <cfRule type="expression" priority="10" aboveAverage="0" equalAverage="0" bottom="0" percent="0" rank="0" text="" dxfId="6">
      <formula>E16="FAIL"</formula>
    </cfRule>
  </conditionalFormatting>
  <conditionalFormatting sqref="E17">
    <cfRule type="expression" priority="11" aboveAverage="0" equalAverage="0" bottom="0" percent="0" rank="0" text="" dxfId="6">
      <formula>E17="FAIL"</formula>
    </cfRule>
  </conditionalFormatting>
  <conditionalFormatting sqref="E18">
    <cfRule type="expression" priority="12" aboveAverage="0" equalAverage="0" bottom="0" percent="0" rank="0" text="" dxfId="6">
      <formula>E18="FAIL"</formula>
    </cfRule>
  </conditionalFormatting>
  <conditionalFormatting sqref="E19">
    <cfRule type="expression" priority="13" aboveAverage="0" equalAverage="0" bottom="0" percent="0" rank="0" text="" dxfId="6">
      <formula>E19="FAIL"</formula>
    </cfRule>
  </conditionalFormatting>
  <conditionalFormatting sqref="E20">
    <cfRule type="expression" priority="14" aboveAverage="0" equalAverage="0" bottom="0" percent="0" rank="0" text="" dxfId="6">
      <formula>E20="FAIL"</formula>
    </cfRule>
  </conditionalFormatting>
  <conditionalFormatting sqref="E21">
    <cfRule type="expression" priority="15" aboveAverage="0" equalAverage="0" bottom="0" percent="0" rank="0" text="" dxfId="6">
      <formula>E21="FAIL"</formula>
    </cfRule>
  </conditionalFormatting>
  <conditionalFormatting sqref="E22">
    <cfRule type="expression" priority="16" aboveAverage="0" equalAverage="0" bottom="0" percent="0" rank="0" text="" dxfId="6">
      <formula>E22="FAIL"</formula>
    </cfRule>
  </conditionalFormatting>
  <conditionalFormatting sqref="E23">
    <cfRule type="expression" priority="17" aboveAverage="0" equalAverage="0" bottom="0" percent="0" rank="0" text="" dxfId="6">
      <formula>E23="FAIL"</formula>
    </cfRule>
  </conditionalFormatting>
  <conditionalFormatting sqref="E24">
    <cfRule type="expression" priority="18" aboveAverage="0" equalAverage="0" bottom="0" percent="0" rank="0" text="" dxfId="6">
      <formula>E24="FAIL"</formula>
    </cfRule>
  </conditionalFormatting>
  <conditionalFormatting sqref="E26">
    <cfRule type="expression" priority="19" aboveAverage="0" equalAverage="0" bottom="0" percent="0" rank="0" text="" dxfId="7">
      <formula>E26="REVIEW"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2026-09-28T12:19:23Z</dcterms:created>
  <dc:creator>BabaDigit</dc:creator>
  <dc:description/>
  <cp:keywords>IRR calculator internal rate of return hurdle rate NPV profile Excel</cp:keywords>
  <dc:language>en-US</dc:language>
  <cp:lastModifiedBy/>
  <dcterms:modified xsi:type="dcterms:W3CDTF">2026-09-28T16:20:12Z</dcterms:modified>
  <cp:revision>1</cp:revision>
  <dc:subject>Internal rate of return (IRR) calculator with hurdle-rate comparison</dc:subject>
  <dc:title>BabaDigit IRR Calculator</dc:title>
</cp:coreProperties>
</file>

<file path=docProps/custom.xml><?xml version="1.0" encoding="utf-8"?>
<Properties xmlns="http://schemas.openxmlformats.org/officeDocument/2006/custom-properties" xmlns:vt="http://schemas.openxmlformats.org/officeDocument/2006/docPropsVTypes"/>
</file>