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EMI Calculator" sheetId="2" state="visible" r:id="rId4"/>
    <sheet name="Rate and Term Grid" sheetId="3" state="visible" r:id="rId5"/>
    <sheet name="Compare Loans" sheetId="4" state="visible" r:id="rId6"/>
    <sheet name="Worked Examples" sheetId="5" state="visible" r:id="rId7"/>
    <sheet name="Formula Guide" sheetId="6" state="visible" r:id="rId8"/>
    <sheet name="Checks" sheetId="7" state="visible" r:id="rId9"/>
  </sheets>
  <definedNames>
    <definedName function="false" hidden="false" name="Annual_Rate" vbProcedure="false">'EMI Calculator'!$D$10</definedName>
    <definedName function="false" hidden="false" name="Checks_Status" vbProcedure="false">Checks!$E$26</definedName>
    <definedName function="false" hidden="false" name="First_Interest" vbProcedure="false">'EMI Calculator'!$D$16</definedName>
    <definedName function="false" hidden="false" name="First_Principal" vbProcedure="false">'EMI Calculator'!$E$16</definedName>
    <definedName function="false" hidden="false" name="Interest_Pct" vbProcedure="false">'EMI Calculator'!$I$16</definedName>
    <definedName function="false" hidden="false" name="Last_Interest" vbProcedure="false">'EMI Calculator'!$D$17</definedName>
    <definedName function="false" hidden="false" name="Last_Principal" vbProcedure="false">'EMI Calculator'!$E$17</definedName>
    <definedName function="false" hidden="false" name="Loan_Amount" vbProcedure="false">'EMI Calculator'!$D$8</definedName>
    <definedName function="false" hidden="false" name="Monthly_Payment" vbProcedure="false">'EMI Calculator'!$H$11</definedName>
    <definedName function="false" hidden="false" name="Monthly_Rate" vbProcedure="false">'EMI Calculator'!$I$17</definedName>
    <definedName function="false" hidden="false" name="Term_Months" vbProcedure="false">'EMI Calculator'!$D$12</definedName>
    <definedName function="false" hidden="false" name="Total_Interest" vbProcedure="false">'EMI Calculator'!$I$15</definedName>
    <definedName function="false" hidden="false" name="Total_Repaid" vbProcedure="false">'EMI Calculator'!$I$14</definedName>
    <definedName function="false" hidden="false" name="XL_IPMT" vbProcedure="false">'EMI Calculator'!$D$23</definedName>
    <definedName function="false" hidden="false" name="XL_PMT" vbProcedure="false">'EMI Calculator'!$D$22</definedName>
    <definedName function="false" hidden="false" name="XL_PPMT" vbProcedure="false">'EMI Calculator'!$D$24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8" authorId="0">
      <text>
        <r>
          <rPr>
            <sz val="10"/>
            <rFont val="Arial"/>
            <family val="2"/>
          </rPr>
          <t xml:space="preserve">Example from the online calculator — replace with your own.</t>
        </r>
      </text>
    </comment>
  </commentList>
</comments>
</file>

<file path=xl/sharedStrings.xml><?xml version="1.0" encoding="utf-8"?>
<sst xmlns="http://schemas.openxmlformats.org/spreadsheetml/2006/main" count="269" uniqueCount="219">
  <si>
    <t xml:space="preserve">Loan / EMI Calculator — Excel Workbook</t>
  </si>
  <si>
    <t xml:space="preserve">BabaDigit free resource · babadigit.com/loan-emi-calculator</t>
  </si>
  <si>
    <t xml:space="preserve">What this workbook does</t>
  </si>
  <si>
    <t xml:space="preserve">An EMI (equated monthly instalment) is the fixed payment that clears a loan over its term. This workbook calculates the monthly payment, the total repaid, the total interest and how the first and last payments split between interest and principal — using the same method as the free Loan / EMI Calculator on babadigit.com — and shows how the rate and the term change the cost.</t>
  </si>
  <si>
    <t xml:space="preserve">How to use it</t>
  </si>
  <si>
    <t xml:space="preserve">1. Open 'EMI Calculator'</t>
  </si>
  <si>
    <t xml:space="preserve">Enter the loan amount, the annual interest rate and the term in months in the yellow cells.</t>
  </si>
  <si>
    <t xml:space="preserve">2. Read the result</t>
  </si>
  <si>
    <t xml:space="preserve">The navy panel shows the monthly payment, total repaid, total interest and interest as a share of the loan.</t>
  </si>
  <si>
    <t xml:space="preserve">3. Test rate and term</t>
  </si>
  <si>
    <t xml:space="preserve">'Rate and Term Grid' shows the payment and total interest across a range of rates and terms.</t>
  </si>
  <si>
    <t xml:space="preserve">4. Compare offers</t>
  </si>
  <si>
    <t xml:space="preserve">'Compare Loans' puts up to four offers side by side, including upfront fees, ranked by total cost.</t>
  </si>
  <si>
    <t xml:space="preserve">Inputs explained</t>
  </si>
  <si>
    <t xml:space="preserve">Loan amount</t>
  </si>
  <si>
    <t xml:space="preserve">The amount borrowed. Must be above zero.</t>
  </si>
  <si>
    <t xml:space="preserve">Annual interest rate</t>
  </si>
  <si>
    <t xml:space="preserve">The nominal yearly rate quoted by the lender. Type 10% (or 0.10). Blank counts as 0%.</t>
  </si>
  <si>
    <t xml:space="preserve">Term in months</t>
  </si>
  <si>
    <t xml:space="preserve">60 months is five years, 120 is ten.</t>
  </si>
  <si>
    <t xml:space="preserve">Cell colour key</t>
  </si>
  <si>
    <t xml:space="preserve">Yellow cell, blue text</t>
  </si>
  <si>
    <t xml:space="preserve">An input — type your own numbers here.</t>
  </si>
  <si>
    <t xml:space="preserve">White cell, black text</t>
  </si>
  <si>
    <t xml:space="preserve">A formula — calculated for you. Please do not overwrite.</t>
  </si>
  <si>
    <t xml:space="preserve">Navy panel, teal figures</t>
  </si>
  <si>
    <t xml:space="preserve">The headline results.</t>
  </si>
  <si>
    <t xml:space="preserve">—  (a dash)</t>
  </si>
  <si>
    <t xml:space="preserve">The result is not mathematically available for the figures entered — see 'Input checks'.</t>
  </si>
  <si>
    <t xml:space="preserve">How to interpret the result</t>
  </si>
  <si>
    <t xml:space="preserve">Monthly payment</t>
  </si>
  <si>
    <t xml:space="preserve">The fixed amount due every month. It never changes, but what it pays for does.</t>
  </si>
  <si>
    <t xml:space="preserve">Total interest</t>
  </si>
  <si>
    <t xml:space="preserve">Everything you pay above the amount borrowed. Much less than rate × years, because the balance falls every month.</t>
  </si>
  <si>
    <t xml:space="preserve">First payment split</t>
  </si>
  <si>
    <t xml:space="preserve">Early payments are mostly interest; later payments are mostly principal. This is why early overpayments save the most.</t>
  </si>
  <si>
    <t xml:space="preserve">Longer terms</t>
  </si>
  <si>
    <t xml:space="preserve">A longer term lowers the payment but raises the total interest sharply.</t>
  </si>
  <si>
    <t xml:space="preserve">Limitations and assumptions</t>
  </si>
  <si>
    <t xml:space="preserve">•  Reducing-balance interest with equal monthly payments, calculated monthly at annual rate ÷ 12.</t>
  </si>
  <si>
    <t xml:space="preserve">•  Fees, insurance and early-settlement charges are not included. Use 'Compare Loans' to add upfront fees.</t>
  </si>
  <si>
    <t xml:space="preserve">•  A fixed rate is assumed for the whole term. For variable rates, test the payment at two or three points higher.</t>
  </si>
  <si>
    <t xml:space="preserve">•  A flat-rate quote is not the same as a reducing-balance rate; a 10% flat rate is much more expensive than 10% here.</t>
  </si>
  <si>
    <t xml:space="preserve">•  No month-by-month schedule is included. For a full amortisation schedule with extra payments, see the paid Loan Amortization Schedule Template.</t>
  </si>
  <si>
    <t xml:space="preserve">•  Results are for general information only, not financial advice and not an offer of credit.</t>
  </si>
  <si>
    <t xml:space="preserve">Workbook contents</t>
  </si>
  <si>
    <t xml:space="preserve">EMI Calculator</t>
  </si>
  <si>
    <t xml:space="preserve">Your calculation: inputs, results, interpretation and how the first and last payments split.</t>
  </si>
  <si>
    <t xml:space="preserve">Rate and Term Grid</t>
  </si>
  <si>
    <t xml:space="preserve">Monthly payment and total interest across a range of rates and terms.</t>
  </si>
  <si>
    <t xml:space="preserve">Compare Loans</t>
  </si>
  <si>
    <t xml:space="preserve">Up to four loan offers, including fees, ranked by total cost.</t>
  </si>
  <si>
    <t xml:space="preserve">Worked Examples</t>
  </si>
  <si>
    <t xml:space="preserve">The three worked examples from the article.</t>
  </si>
  <si>
    <t xml:space="preserve">Formula Guide</t>
  </si>
  <si>
    <t xml:space="preserve">The maths and the exact formula behind every result.</t>
  </si>
  <si>
    <t xml:space="preserve">Checks</t>
  </si>
  <si>
    <t xml:space="preserve">Automatic self-checks that confirm the workbook is calculating correctly.</t>
  </si>
  <si>
    <t xml:space="preserve">No macros, no add-ins, no internet connection required. Sheets are not locked, so you can adapt the workbook. © BabaDigit — free to use for your own analysis. Free online version: babadigit.com/loan-emi-calculator. Results are for general information only and are not financial advice.</t>
  </si>
  <si>
    <t xml:space="preserve">Enter your figures in the yellow cells. Results update automatically.</t>
  </si>
  <si>
    <t xml:space="preserve">1  Your loan</t>
  </si>
  <si>
    <t xml:space="preserve">The amount borrowed.</t>
  </si>
  <si>
    <t xml:space="preserve">RESULTS</t>
  </si>
  <si>
    <t xml:space="preserve">Nominal yearly rate, e.g. 10%.</t>
  </si>
  <si>
    <t xml:space="preserve">2  How the payment splits</t>
  </si>
  <si>
    <t xml:space="preserve">Total repaid</t>
  </si>
  <si>
    <t xml:space="preserve">Payment</t>
  </si>
  <si>
    <t xml:space="preserve">Interest</t>
  </si>
  <si>
    <t xml:space="preserve">Principal</t>
  </si>
  <si>
    <t xml:space="preserve">Interest share</t>
  </si>
  <si>
    <t xml:space="preserve">First payment</t>
  </si>
  <si>
    <t xml:space="preserve">Interest as % of loan</t>
  </si>
  <si>
    <t xml:space="preserve">Last payment</t>
  </si>
  <si>
    <t xml:space="preserve">Monthly interest rate</t>
  </si>
  <si>
    <t xml:space="preserve">The first payment carries a full month's interest on the whole balance. The last clears the remaining balance, so it is almost all principal.</t>
  </si>
  <si>
    <t xml:space="preserve">3  The same result with Excel's built-in functions</t>
  </si>
  <si>
    <t xml:space="preserve">Reading this result</t>
  </si>
  <si>
    <t xml:space="preserve">Excel: PMT(rate/12, months, −loan)</t>
  </si>
  <si>
    <t xml:space="preserve">Interest in payment 1</t>
  </si>
  <si>
    <t xml:space="preserve">Excel: IPMT(rate/12, 1, months, −loan)</t>
  </si>
  <si>
    <t xml:space="preserve">Principal in payment 1</t>
  </si>
  <si>
    <t xml:space="preserve">Excel: PPMT(rate/12, 1, months, −loan)</t>
  </si>
  <si>
    <t xml:space="preserve">These cells use PMT, IPMT and PPMT and must agree with the calculator above — 'Checks' confirms it.</t>
  </si>
  <si>
    <t xml:space="preserve">Need the full month-by-month schedule?</t>
  </si>
  <si>
    <t xml:space="preserve">This free workbook stops at the payment and its split. The Loan Amortization Schedule Template builds the complete schedule for every month, with extra payments and the interest they save.</t>
  </si>
  <si>
    <t xml:space="preserve">Input checks</t>
  </si>
  <si>
    <t xml:space="preserve">View the Loan Amortization Schedule Template →</t>
  </si>
  <si>
    <t xml:space="preserve">EMI = P × r × (1 + r)^n ÷ ((1 + r)^n − 1), with r = annual rate ÷ 12. See 'Formula Guide'.</t>
  </si>
  <si>
    <t xml:space="preserve">How the monthly payment and total interest change with the rate and the term.</t>
  </si>
  <si>
    <t xml:space="preserve">Taken from 'EMI Calculator'. Change the rates and terms in the yellow cells.</t>
  </si>
  <si>
    <t xml:space="preserve">Rate ↓  /  Months →</t>
  </si>
  <si>
    <t xml:space="preserve">Total interest over the term</t>
  </si>
  <si>
    <t xml:space="preserve">The highlighted cell matches the rate and term on 'EMI Calculator' (when they appear in the grid). Reading across a row shows the price of a longer term; reading down a column shows the price of a higher rate.</t>
  </si>
  <si>
    <t xml:space="preserve">Up to four loan offers side by side, ranked by total cost including fees.</t>
  </si>
  <si>
    <t xml:space="preserve">Offer 1</t>
  </si>
  <si>
    <t xml:space="preserve">Offer 2</t>
  </si>
  <si>
    <t xml:space="preserve">Offer 3</t>
  </si>
  <si>
    <t xml:space="preserve">Offer 4</t>
  </si>
  <si>
    <t xml:space="preserve">Name</t>
  </si>
  <si>
    <t xml:space="preserve">Base case</t>
  </si>
  <si>
    <t xml:space="preserve">Higher rate</t>
  </si>
  <si>
    <t xml:space="preserve">Longer term</t>
  </si>
  <si>
    <t xml:space="preserve">Lower rate + fee</t>
  </si>
  <si>
    <t xml:space="preserve">Upfront fees</t>
  </si>
  <si>
    <t xml:space="preserve">Results</t>
  </si>
  <si>
    <t xml:space="preserve">Total cost (interest + fees)</t>
  </si>
  <si>
    <t xml:space="preserve">Cost as % of loan</t>
  </si>
  <si>
    <t xml:space="preserve">Rank (lowest cost = 1)</t>
  </si>
  <si>
    <t xml:space="preserve">Rank uses total cost over the full term, including upfront fees. A lower monthly payment is not the same as a cheaper loan. Compare offers for the same amount, and check the APR your lender quotes. The example offers are fictional.</t>
  </si>
  <si>
    <t xml:space="preserve">Fictional scenarios — the same examples as babadigit.com/loan-emi-calculator.</t>
  </si>
  <si>
    <t xml:space="preserve">Example 1 — Base case: a five-year business loan</t>
  </si>
  <si>
    <t xml:space="preserve">Borrowing 500,000 at 10% a year over 60 months.</t>
  </si>
  <si>
    <t xml:space="preserve">Monthly rate</t>
  </si>
  <si>
    <t xml:space="preserve">annual rate ÷ 12</t>
  </si>
  <si>
    <t xml:space="preserve">Monthly payment (EMI)</t>
  </si>
  <si>
    <t xml:space="preserve">27.48% — not 50%, because the balance falls every month</t>
  </si>
  <si>
    <t xml:space="preserve">Interest in the first payment</t>
  </si>
  <si>
    <t xml:space="preserve">a full month's interest on 500,000</t>
  </si>
  <si>
    <t xml:space="preserve">Principal in the first payment</t>
  </si>
  <si>
    <t xml:space="preserve">payment − interest</t>
  </si>
  <si>
    <t xml:space="preserve">Excel PMT function</t>
  </si>
  <si>
    <t xml:space="preserve">PMT(rate/12, months, −loan)</t>
  </si>
  <si>
    <t xml:space="preserve">Excel IPMT function (payment 1)</t>
  </si>
  <si>
    <t xml:space="preserve">IPMT(rate/12, 1, months, −loan)</t>
  </si>
  <si>
    <t xml:space="preserve">Example 2 — Rate matters: the same loan at 20%</t>
  </si>
  <si>
    <t xml:space="preserve">Identical amount and term, but the rate doubles.</t>
  </si>
  <si>
    <t xml:space="preserve">Payment increase vs 10%</t>
  </si>
  <si>
    <t xml:space="preserve">about 25% more a month …</t>
  </si>
  <si>
    <t xml:space="preserve">Interest vs 10%</t>
  </si>
  <si>
    <t xml:space="preserve">… but more than twice the interest</t>
  </si>
  <si>
    <t xml:space="preserve">Example 3 — The long-term trap: ten years instead of five</t>
  </si>
  <si>
    <t xml:space="preserve">500,000 at 10%, but over 120 months instead of 60.</t>
  </si>
  <si>
    <t xml:space="preserve">Payment change vs 60 months</t>
  </si>
  <si>
    <t xml:space="preserve">the payment falls by about 38% …</t>
  </si>
  <si>
    <t xml:space="preserve">Extra interest vs 60 months</t>
  </si>
  <si>
    <t xml:space="preserve">… and costs an extra 155,493 in interest</t>
  </si>
  <si>
    <t xml:space="preserve">Change any yellow cell to see how each result responds. Examples are fictional and for illustration only.</t>
  </si>
  <si>
    <t xml:space="preserve">The method behind every result — identical to the online BabaDigit Loan / EMI Calculator.</t>
  </si>
  <si>
    <t xml:space="preserve">The formulas</t>
  </si>
  <si>
    <t xml:space="preserve">Result</t>
  </si>
  <si>
    <t xml:space="preserve">Mathematical formula</t>
  </si>
  <si>
    <t xml:space="preserve">How this workbook calculates it</t>
  </si>
  <si>
    <t xml:space="preserve">Monthly rate r</t>
  </si>
  <si>
    <t xml:space="preserve">Annual rate ÷ 12</t>
  </si>
  <si>
    <t xml:space="preserve">=N(Annual_Rate)/12</t>
  </si>
  <si>
    <t xml:space="preserve">P × r × (1 + r)^n ÷ ((1 + r)^n − 1); when r = 0, P ÷ n</t>
  </si>
  <si>
    <t xml:space="preserve">=IF(r=0, Loan_Amount/Term_Months, Loan_Amount*r*(1+r)^Term_Months/((1+r)^Term_Months-1))</t>
  </si>
  <si>
    <t xml:space="preserve">EMI × n</t>
  </si>
  <si>
    <t xml:space="preserve">=Monthly_Payment*Term_Months</t>
  </si>
  <si>
    <t xml:space="preserve">Total repaid − P</t>
  </si>
  <si>
    <t xml:space="preserve">=Total_Repaid-Loan_Amount</t>
  </si>
  <si>
    <t xml:space="preserve">Interest = P × r; principal = EMI − interest</t>
  </si>
  <si>
    <t xml:space="preserve">=Loan_Amount*r   and   =Monthly_Payment-First_Interest</t>
  </si>
  <si>
    <t xml:space="preserve">Last payment split</t>
  </si>
  <si>
    <t xml:space="preserve">Principal = EMI ÷ (1 + r); interest = EMI − principal</t>
  </si>
  <si>
    <t xml:space="preserve">=Monthly_Payment/(1+r)   and   =Monthly_Payment-Last_Principal</t>
  </si>
  <si>
    <t xml:space="preserve">Why these rules</t>
  </si>
  <si>
    <t xml:space="preserve">•  Results appear only when the loan amount and the term are above zero — exactly like the online calculator. A blank rate counts as 0%.</t>
  </si>
  <si>
    <t xml:space="preserve">•  At 0% the payment is simply the loan divided by the number of months.</t>
  </si>
  <si>
    <t xml:space="preserve">•  The last payment clears a balance of exactly one payment's present value, so its principal is EMI ÷ (1 + r).</t>
  </si>
  <si>
    <t xml:space="preserve">•  A monthly rate of −100% or below has no meaning, so results show '—' (an annual rate at or below −1,200%).</t>
  </si>
  <si>
    <t xml:space="preserve">•  No month-by-month schedule is included; the first and last payment are enough to show how the split moves.</t>
  </si>
  <si>
    <t xml:space="preserve">Do it in any spreadsheet</t>
  </si>
  <si>
    <t xml:space="preserve">Set-up</t>
  </si>
  <si>
    <t xml:space="preserve">Loan amount in B1, annual rate in B2 (as a percentage number, e.g. 10), months in B3.</t>
  </si>
  <si>
    <t xml:space="preserve">=PMT(B2/12/100, B3, -B1)</t>
  </si>
  <si>
    <t xml:space="preserve">=IPMT(B2/12/100, 1, B3, -B1)</t>
  </si>
  <si>
    <t xml:space="preserve">Principal in payment k</t>
  </si>
  <si>
    <t xml:space="preserve">=PPMT(B2/12/100, k, B3, -B1)</t>
  </si>
  <si>
    <t xml:space="preserve">Tip</t>
  </si>
  <si>
    <t xml:space="preserve">The minus sign on the loan amount returns a positive payment.</t>
  </si>
  <si>
    <t xml:space="preserve">Named ranges used</t>
  </si>
  <si>
    <t xml:space="preserve">Loan_Amount</t>
  </si>
  <si>
    <t xml:space="preserve">'EMI Calculator'!D8</t>
  </si>
  <si>
    <t xml:space="preserve">Annual_Rate</t>
  </si>
  <si>
    <t xml:space="preserve">'EMI Calculator'!D10</t>
  </si>
  <si>
    <t xml:space="preserve">Term_Months</t>
  </si>
  <si>
    <t xml:space="preserve">'EMI Calculator'!D12</t>
  </si>
  <si>
    <t xml:space="preserve">Monthly_Payment</t>
  </si>
  <si>
    <t xml:space="preserve">'EMI Calculator'!H11</t>
  </si>
  <si>
    <t xml:space="preserve">Total_Repaid</t>
  </si>
  <si>
    <t xml:space="preserve">'EMI Calculator'!I14</t>
  </si>
  <si>
    <t xml:space="preserve">Total_Interest</t>
  </si>
  <si>
    <t xml:space="preserve">'EMI Calculator'!I15</t>
  </si>
  <si>
    <t xml:space="preserve">Interest_Pct</t>
  </si>
  <si>
    <t xml:space="preserve">'EMI Calculator'!I16</t>
  </si>
  <si>
    <t xml:space="preserve">Monthly_Rate</t>
  </si>
  <si>
    <t xml:space="preserve">'EMI Calculator'!I17</t>
  </si>
  <si>
    <t xml:space="preserve">First_Interest</t>
  </si>
  <si>
    <t xml:space="preserve">'EMI Calculator'!D16</t>
  </si>
  <si>
    <t xml:space="preserve">First_Principal</t>
  </si>
  <si>
    <t xml:space="preserve">'EMI Calculator'!E16</t>
  </si>
  <si>
    <t xml:space="preserve">Last_Interest</t>
  </si>
  <si>
    <t xml:space="preserve">'EMI Calculator'!D17</t>
  </si>
  <si>
    <t xml:space="preserve">Last_Principal</t>
  </si>
  <si>
    <t xml:space="preserve">'EMI Calculator'!E17</t>
  </si>
  <si>
    <t xml:space="preserve">Automatic self-checks. Every row should read PASS (or N/A).</t>
  </si>
  <si>
    <t xml:space="preserve">Check</t>
  </si>
  <si>
    <t xml:space="preserve">Workbook</t>
  </si>
  <si>
    <t xml:space="preserve">Expected</t>
  </si>
  <si>
    <t xml:space="preserve">Example 1 monthly payment matches the published 10,623.52</t>
  </si>
  <si>
    <t xml:space="preserve">Example 1 total repaid matches the published 637,411.34</t>
  </si>
  <si>
    <t xml:space="preserve">Example 1 total interest matches the published 137,411.34</t>
  </si>
  <si>
    <t xml:space="preserve">Example 1 interest share matches the published 27.48%</t>
  </si>
  <si>
    <t xml:space="preserve">Example 1 first-payment interest matches the published 4,166.67</t>
  </si>
  <si>
    <t xml:space="preserve">Example 1 first-payment principal = 10,623.52 − 4,166.67 = 6,456.86</t>
  </si>
  <si>
    <t xml:space="preserve">Example 2 monthly payment matches the published 13,246.94</t>
  </si>
  <si>
    <t xml:space="preserve">Example 2 total interest matches the published 294,816.51</t>
  </si>
  <si>
    <t xml:space="preserve">Example 3 monthly payment matches the published 6,607.54</t>
  </si>
  <si>
    <t xml:space="preserve">Example 3 total interest matches the published 292,904.42</t>
  </si>
  <si>
    <t xml:space="preserve">Example 3 extra interest matches the published 155,493</t>
  </si>
  <si>
    <t xml:space="preserve">Example 1: Excel PMT and IPMT agree with the formulas</t>
  </si>
  <si>
    <t xml:space="preserve">EMI Calculator: PMT agrees with the monthly payment</t>
  </si>
  <si>
    <t xml:space="preserve">EMI Calculator: IPMT and PPMT agree with the first-payment split</t>
  </si>
  <si>
    <t xml:space="preserve">EMI Calculator: the payments discounted at the loan rate equal the loan amount</t>
  </si>
  <si>
    <t xml:space="preserve">EMI Calculator: last-payment principal equals PPMT for the final month (whole-month terms)</t>
  </si>
  <si>
    <t xml:space="preserve">Rate and Term Grid: 10% × 60 months matches the calculator (when those are the inputs)</t>
  </si>
  <si>
    <t xml:space="preserve">Overall status</t>
  </si>
  <si>
    <t xml:space="preserve">'N/A' means a check does not apply to the figures currently entered. Published values are the worked-example results on babadigit.com/loan-emi-calculator. The first-payment principal is shown as 6,456.86 (payment minus interest); the article table currently rounds it to 6,456.85.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</si>
</sst>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;[RED]\-#,##0.00;\-"/>
    <numFmt numFmtId="166" formatCode="0.00%"/>
    <numFmt numFmtId="167" formatCode="0.##"/>
    <numFmt numFmtId="168" formatCode="0.00%;[RED]\-0.00%;0.00%"/>
    <numFmt numFmtId="169" formatCode="0.0000%"/>
    <numFmt numFmtId="170" formatCode="0"/>
    <numFmt numFmtId="171" formatCode="0.000000"/>
    <numFmt numFmtId="172" formatCode="0.00\×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94A3B8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4B8A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94A3B8"/>
      <name val="Arial"/>
      <family val="0"/>
      <charset val="1"/>
    </font>
    <font>
      <sz val="10"/>
      <color rgb="FFCBD5E1"/>
      <name val="Arial"/>
      <family val="0"/>
      <charset val="1"/>
    </font>
    <font>
      <b val="true"/>
      <sz val="26"/>
      <color rgb="FF14B8A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94A3B8"/>
      <name val="Arial"/>
      <family val="0"/>
      <charset val="1"/>
    </font>
    <font>
      <sz val="9"/>
      <color rgb="FF334155"/>
      <name val="Arial"/>
      <family val="0"/>
      <charset val="1"/>
    </font>
    <font>
      <sz val="10"/>
      <name val="Arial"/>
      <family val="2"/>
    </font>
    <font>
      <b val="true"/>
      <sz val="10"/>
      <color rgb="FF008000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sz val="9"/>
      <color rgb="FF334155"/>
      <name val="Courier New"/>
      <family val="0"/>
      <charset val="1"/>
    </font>
    <font>
      <sz val="10"/>
      <color rgb="FF334155"/>
      <name val="Courier New"/>
      <family val="0"/>
      <charset val="1"/>
    </font>
    <font>
      <sz val="10"/>
      <color rgb="FF0F172A"/>
      <name val="Courier New"/>
      <family val="0"/>
      <charset val="1"/>
    </font>
    <font>
      <sz val="10"/>
      <color rgb="FF64748B"/>
      <name val="Arial"/>
      <family val="0"/>
      <charset val="1"/>
    </font>
    <font>
      <b val="true"/>
      <sz val="11"/>
      <color rgb="FF0F766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14B8A6"/>
        <bgColor rgb="FF00CCFF"/>
      </patternFill>
    </fill>
    <fill>
      <patternFill patternType="solid">
        <fgColor rgb="FFFEF9C3"/>
        <bgColor rgb="FFFFFF99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thin">
        <color rgb="FF1E293B"/>
      </bottom>
      <diagonal/>
    </border>
    <border diagonalUp="false" diagonalDown="false">
      <left/>
      <right/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2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9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3" fillId="2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2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27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3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Arial"/>
        <charset val="1"/>
        <family val="0"/>
        <color rgb="FFFCA5A5"/>
        <sz val="10"/>
      </font>
    </dxf>
    <dxf>
      <font>
        <name val="Arial"/>
        <charset val="1"/>
        <family val="0"/>
        <b val="1"/>
        <color rgb="FFFCA5A5"/>
        <sz val="26"/>
      </font>
    </dxf>
    <dxf>
      <font>
        <name val="Arial"/>
        <charset val="1"/>
        <family val="0"/>
        <b val="1"/>
        <color rgb="FFFCA5A5"/>
        <sz val="11"/>
      </font>
    </dxf>
    <dxf>
      <font>
        <name val="Arial"/>
        <charset val="1"/>
        <family val="0"/>
        <b val="1"/>
        <color rgb="FFB91C1C"/>
        <sz val="9"/>
      </font>
    </dxf>
    <dxf>
      <font>
        <name val="Arial"/>
        <charset val="1"/>
        <family val="0"/>
        <color rgb="FF0F766E"/>
        <sz val="9"/>
      </font>
    </dxf>
    <dxf>
      <font>
        <name val="Arial"/>
        <charset val="1"/>
        <family val="0"/>
        <b val="1"/>
        <color rgb="FF0F172A"/>
      </font>
      <fill>
        <patternFill>
          <bgColor rgb="FFCCFBF1"/>
        </patternFill>
      </fill>
    </dxf>
    <dxf>
      <fill>
        <patternFill>
          <bgColor rgb="FFCCFBF1"/>
        </patternFill>
      </fill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EF9C3"/>
      <rgbColor rgb="FFCCFBF1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F8FAFC"/>
      <rgbColor rgb="FFFFFF99"/>
      <rgbColor rgb="FF99CCFF"/>
      <rgbColor rgb="FFFCA5A5"/>
      <rgbColor rgb="FFCC99FF"/>
      <rgbColor rgb="FFFEE2E2"/>
      <rgbColor rgb="FF2563EB"/>
      <rgbColor rgb="FF14B8A6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B91C1C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72A"/>
    <pageSetUpPr fitToPage="true"/>
  </sheetPr>
  <dimension ref="A1:D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3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1"/>
      <c r="B2" s="2" t="s">
        <v>0</v>
      </c>
      <c r="C2" s="1"/>
      <c r="D2" s="1"/>
    </row>
    <row r="3" customFormat="false" ht="19.5" hidden="false" customHeight="true" outlineLevel="0" collapsed="false">
      <c r="A3" s="1"/>
      <c r="B3" s="3" t="s">
        <v>1</v>
      </c>
      <c r="C3" s="1"/>
      <c r="D3" s="1"/>
    </row>
    <row r="4" customFormat="false" ht="7.5" hidden="false" customHeight="true" outlineLevel="0" collapsed="false">
      <c r="A4" s="1"/>
      <c r="B4" s="1"/>
      <c r="C4" s="1"/>
      <c r="D4" s="1"/>
    </row>
    <row r="5" customFormat="false" ht="3" hidden="false" customHeight="true" outlineLevel="0" collapsed="false">
      <c r="A5" s="4"/>
      <c r="B5" s="4"/>
      <c r="C5" s="4"/>
      <c r="D5" s="4"/>
    </row>
    <row r="7" customFormat="false" ht="19.5" hidden="false" customHeight="true" outlineLevel="0" collapsed="false">
      <c r="B7" s="5" t="s">
        <v>2</v>
      </c>
      <c r="C7" s="6"/>
    </row>
    <row r="8" customFormat="false" ht="45.75" hidden="false" customHeight="true" outlineLevel="0" collapsed="false">
      <c r="B8" s="7" t="s">
        <v>3</v>
      </c>
      <c r="C8" s="7"/>
    </row>
    <row r="10" customFormat="false" ht="19.5" hidden="false" customHeight="true" outlineLevel="0" collapsed="false">
      <c r="B10" s="5" t="s">
        <v>4</v>
      </c>
      <c r="C10" s="6"/>
    </row>
    <row r="11" customFormat="false" ht="30" hidden="false" customHeight="true" outlineLevel="0" collapsed="false">
      <c r="B11" s="8" t="s">
        <v>5</v>
      </c>
      <c r="C11" s="9" t="s">
        <v>6</v>
      </c>
    </row>
    <row r="12" customFormat="false" ht="30" hidden="false" customHeight="true" outlineLevel="0" collapsed="false">
      <c r="B12" s="8" t="s">
        <v>7</v>
      </c>
      <c r="C12" s="9" t="s">
        <v>8</v>
      </c>
    </row>
    <row r="13" customFormat="false" ht="30" hidden="false" customHeight="true" outlineLevel="0" collapsed="false">
      <c r="B13" s="8" t="s">
        <v>9</v>
      </c>
      <c r="C13" s="9" t="s">
        <v>10</v>
      </c>
    </row>
    <row r="14" customFormat="false" ht="30" hidden="false" customHeight="true" outlineLevel="0" collapsed="false">
      <c r="B14" s="8" t="s">
        <v>11</v>
      </c>
      <c r="C14" s="9" t="s">
        <v>12</v>
      </c>
    </row>
    <row r="16" customFormat="false" ht="19.5" hidden="false" customHeight="true" outlineLevel="0" collapsed="false">
      <c r="B16" s="5" t="s">
        <v>13</v>
      </c>
      <c r="C16" s="6"/>
    </row>
    <row r="17" customFormat="false" ht="18" hidden="false" customHeight="true" outlineLevel="0" collapsed="false">
      <c r="B17" s="8" t="s">
        <v>14</v>
      </c>
      <c r="C17" s="9" t="s">
        <v>15</v>
      </c>
    </row>
    <row r="18" customFormat="false" ht="18" hidden="false" customHeight="true" outlineLevel="0" collapsed="false">
      <c r="B18" s="8" t="s">
        <v>16</v>
      </c>
      <c r="C18" s="9" t="s">
        <v>17</v>
      </c>
    </row>
    <row r="19" customFormat="false" ht="18" hidden="false" customHeight="true" outlineLevel="0" collapsed="false">
      <c r="B19" s="8" t="s">
        <v>18</v>
      </c>
      <c r="C19" s="9" t="s">
        <v>19</v>
      </c>
    </row>
    <row r="21" customFormat="false" ht="19.5" hidden="false" customHeight="true" outlineLevel="0" collapsed="false">
      <c r="B21" s="5" t="s">
        <v>20</v>
      </c>
      <c r="C21" s="6"/>
    </row>
    <row r="22" customFormat="false" ht="19.5" hidden="false" customHeight="true" outlineLevel="0" collapsed="false">
      <c r="B22" s="10" t="s">
        <v>21</v>
      </c>
      <c r="C22" s="9" t="s">
        <v>22</v>
      </c>
    </row>
    <row r="23" customFormat="false" ht="19.5" hidden="false" customHeight="true" outlineLevel="0" collapsed="false">
      <c r="B23" s="11" t="s">
        <v>23</v>
      </c>
      <c r="C23" s="9" t="s">
        <v>24</v>
      </c>
    </row>
    <row r="24" customFormat="false" ht="19.5" hidden="false" customHeight="true" outlineLevel="0" collapsed="false">
      <c r="B24" s="12" t="s">
        <v>25</v>
      </c>
      <c r="C24" s="9" t="s">
        <v>26</v>
      </c>
    </row>
    <row r="25" customFormat="false" ht="19.5" hidden="false" customHeight="true" outlineLevel="0" collapsed="false">
      <c r="B25" s="13" t="s">
        <v>27</v>
      </c>
      <c r="C25" s="9" t="s">
        <v>28</v>
      </c>
    </row>
    <row r="27" customFormat="false" ht="19.5" hidden="false" customHeight="true" outlineLevel="0" collapsed="false">
      <c r="B27" s="5" t="s">
        <v>29</v>
      </c>
      <c r="C27" s="6"/>
    </row>
    <row r="28" customFormat="false" ht="18" hidden="false" customHeight="true" outlineLevel="0" collapsed="false">
      <c r="B28" s="8" t="s">
        <v>30</v>
      </c>
      <c r="C28" s="9" t="s">
        <v>31</v>
      </c>
    </row>
    <row r="29" customFormat="false" ht="30" hidden="false" customHeight="true" outlineLevel="0" collapsed="false">
      <c r="B29" s="8" t="s">
        <v>32</v>
      </c>
      <c r="C29" s="9" t="s">
        <v>33</v>
      </c>
    </row>
    <row r="30" customFormat="false" ht="30" hidden="false" customHeight="true" outlineLevel="0" collapsed="false">
      <c r="B30" s="8" t="s">
        <v>34</v>
      </c>
      <c r="C30" s="9" t="s">
        <v>35</v>
      </c>
    </row>
    <row r="31" customFormat="false" ht="18" hidden="false" customHeight="true" outlineLevel="0" collapsed="false">
      <c r="B31" s="8" t="s">
        <v>36</v>
      </c>
      <c r="C31" s="9" t="s">
        <v>37</v>
      </c>
    </row>
    <row r="33" customFormat="false" ht="19.5" hidden="false" customHeight="true" outlineLevel="0" collapsed="false">
      <c r="B33" s="5" t="s">
        <v>38</v>
      </c>
      <c r="C33" s="6"/>
    </row>
    <row r="34" customFormat="false" ht="18" hidden="false" customHeight="true" outlineLevel="0" collapsed="false">
      <c r="B34" s="7" t="s">
        <v>39</v>
      </c>
      <c r="C34" s="7"/>
    </row>
    <row r="35" customFormat="false" ht="18" hidden="false" customHeight="true" outlineLevel="0" collapsed="false">
      <c r="B35" s="7" t="s">
        <v>40</v>
      </c>
      <c r="C35" s="7"/>
    </row>
    <row r="36" customFormat="false" ht="30" hidden="false" customHeight="true" outlineLevel="0" collapsed="false">
      <c r="B36" s="7" t="s">
        <v>41</v>
      </c>
      <c r="C36" s="7"/>
    </row>
    <row r="37" customFormat="false" ht="30" hidden="false" customHeight="true" outlineLevel="0" collapsed="false">
      <c r="B37" s="7" t="s">
        <v>42</v>
      </c>
      <c r="C37" s="7"/>
    </row>
    <row r="38" customFormat="false" ht="30" hidden="false" customHeight="true" outlineLevel="0" collapsed="false">
      <c r="B38" s="7" t="s">
        <v>43</v>
      </c>
      <c r="C38" s="7"/>
    </row>
    <row r="39" customFormat="false" ht="18" hidden="false" customHeight="true" outlineLevel="0" collapsed="false">
      <c r="B39" s="7" t="s">
        <v>44</v>
      </c>
      <c r="C39" s="7"/>
    </row>
    <row r="41" customFormat="false" ht="19.5" hidden="false" customHeight="true" outlineLevel="0" collapsed="false">
      <c r="B41" s="5" t="s">
        <v>45</v>
      </c>
      <c r="C41" s="6"/>
    </row>
    <row r="42" customFormat="false" ht="18" hidden="false" customHeight="true" outlineLevel="0" collapsed="false">
      <c r="B42" s="14" t="s">
        <v>46</v>
      </c>
      <c r="C42" s="9" t="s">
        <v>47</v>
      </c>
    </row>
    <row r="43" customFormat="false" ht="18" hidden="false" customHeight="true" outlineLevel="0" collapsed="false">
      <c r="B43" s="14" t="s">
        <v>48</v>
      </c>
      <c r="C43" s="9" t="s">
        <v>49</v>
      </c>
    </row>
    <row r="44" customFormat="false" ht="18" hidden="false" customHeight="true" outlineLevel="0" collapsed="false">
      <c r="B44" s="14" t="s">
        <v>50</v>
      </c>
      <c r="C44" s="9" t="s">
        <v>51</v>
      </c>
    </row>
    <row r="45" customFormat="false" ht="18" hidden="false" customHeight="true" outlineLevel="0" collapsed="false">
      <c r="B45" s="14" t="s">
        <v>52</v>
      </c>
      <c r="C45" s="9" t="s">
        <v>53</v>
      </c>
    </row>
    <row r="46" customFormat="false" ht="18" hidden="false" customHeight="true" outlineLevel="0" collapsed="false">
      <c r="B46" s="14" t="s">
        <v>54</v>
      </c>
      <c r="C46" s="9" t="s">
        <v>55</v>
      </c>
    </row>
    <row r="47" customFormat="false" ht="18" hidden="false" customHeight="true" outlineLevel="0" collapsed="false">
      <c r="B47" s="14" t="s">
        <v>56</v>
      </c>
      <c r="C47" s="9" t="s">
        <v>57</v>
      </c>
    </row>
    <row r="49" customFormat="false" ht="30" hidden="false" customHeight="true" outlineLevel="0" collapsed="false">
      <c r="B49" s="15" t="s">
        <v>58</v>
      </c>
      <c r="C49" s="15"/>
    </row>
  </sheetData>
  <mergeCells count="8">
    <mergeCell ref="B8:C8"/>
    <mergeCell ref="B34:C34"/>
    <mergeCell ref="B35:C35"/>
    <mergeCell ref="B36:C36"/>
    <mergeCell ref="B37:C37"/>
    <mergeCell ref="B38:C38"/>
    <mergeCell ref="B39:C39"/>
    <mergeCell ref="B49:C49"/>
  </mergeCells>
  <hyperlinks>
    <hyperlink ref="B42" location="'EMI Calculator'!A1" display="EMI Calculator"/>
    <hyperlink ref="B43" location="'Rate and Term Grid'!A1" display="Rate and Term Grid"/>
    <hyperlink ref="B44" location="'Compare Loans'!A1" display="Compare Loans"/>
    <hyperlink ref="B45" location="'Worked Examples'!A1" display="Worked Examples"/>
    <hyperlink ref="B46" location="'Formula Guide'!A1" display="Formula Guide"/>
    <hyperlink ref="B47" location="'Checks'!A1" display="Checks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17"/>
    <col collapsed="false" customWidth="true" hidden="false" outlineLevel="0" max="6" min="5" style="0" width="16"/>
    <col collapsed="false" customWidth="true" hidden="false" outlineLevel="0" max="7" min="7" style="0" width="3"/>
    <col collapsed="false" customWidth="true" hidden="false" outlineLevel="0" max="8" min="8" style="0" width="38"/>
    <col collapsed="false" customWidth="true" hidden="false" outlineLevel="0" max="9" min="9" style="0" width="20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59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60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14</v>
      </c>
      <c r="D8" s="19" t="n">
        <v>500000</v>
      </c>
      <c r="E8" s="20" t="s">
        <v>61</v>
      </c>
      <c r="F8" s="20"/>
      <c r="H8" s="21" t="s">
        <v>62</v>
      </c>
      <c r="I8" s="17"/>
    </row>
    <row r="9" customFormat="false" ht="15" hidden="false" customHeight="false" outlineLevel="0" collapsed="false">
      <c r="H9" s="16"/>
      <c r="I9" s="17"/>
    </row>
    <row r="10" customFormat="false" ht="15" hidden="false" customHeight="true" outlineLevel="0" collapsed="false">
      <c r="B10" s="18" t="s">
        <v>16</v>
      </c>
      <c r="D10" s="22" t="n">
        <v>0.1</v>
      </c>
      <c r="E10" s="20" t="s">
        <v>63</v>
      </c>
      <c r="F10" s="20"/>
      <c r="H10" s="23" t="s">
        <v>30</v>
      </c>
      <c r="I10" s="17"/>
    </row>
    <row r="11" customFormat="false" ht="15" hidden="false" customHeight="false" outlineLevel="0" collapsed="false">
      <c r="H11" s="24" t="n">
        <f aca="false">IF(AND(ISNUMBER(Loan_Amount),N(Loan_Amount)&gt;0,ISNUMBER(Term_Months),N(Term_Months)&gt;0,N(Annual_Rate)/12&gt;-1),IF((N(Annual_Rate)/12)=0,Loan_Amount/Term_Months,Loan_Amount*(N(Annual_Rate)/12)*(1+(N(Annual_Rate)/12))^Term_Months/((1+(N(Annual_Rate)/12))^Term_Months-1)),"—")</f>
        <v>10623.5223556342</v>
      </c>
      <c r="I11" s="24"/>
    </row>
    <row r="12" customFormat="false" ht="15" hidden="false" customHeight="false" outlineLevel="0" collapsed="false">
      <c r="B12" s="18" t="s">
        <v>18</v>
      </c>
      <c r="D12" s="25" t="n">
        <v>60</v>
      </c>
      <c r="E12" s="26" t="str">
        <f aca="false">IF(AND(ISNUMBER(Term_Months),N(Term_Months)&gt;0),"= "&amp;TEXT(Term_Months/12,"0.##")&amp;" years","")</f>
        <v>= 5 years</v>
      </c>
      <c r="H12" s="24"/>
      <c r="I12" s="24"/>
    </row>
    <row r="13" customFormat="false" ht="15" hidden="false" customHeight="false" outlineLevel="0" collapsed="false">
      <c r="H13" s="16"/>
      <c r="I13" s="17"/>
    </row>
    <row r="14" customFormat="false" ht="19.5" hidden="false" customHeight="true" outlineLevel="0" collapsed="false">
      <c r="B14" s="5" t="s">
        <v>64</v>
      </c>
      <c r="C14" s="6"/>
      <c r="D14" s="6"/>
      <c r="E14" s="6"/>
      <c r="F14" s="6"/>
      <c r="H14" s="27" t="s">
        <v>65</v>
      </c>
      <c r="I14" s="28" t="n">
        <f aca="false">IF(AND(ISNUMBER(Loan_Amount),N(Loan_Amount)&gt;0,ISNUMBER(Term_Months),N(Term_Months)&gt;0,N(Annual_Rate)/12&gt;-1),Monthly_Payment*Term_Months,"—")</f>
        <v>637411.34133805</v>
      </c>
    </row>
    <row r="15" customFormat="false" ht="18" hidden="false" customHeight="true" outlineLevel="0" collapsed="false">
      <c r="B15" s="29"/>
      <c r="C15" s="30" t="s">
        <v>66</v>
      </c>
      <c r="D15" s="30" t="s">
        <v>67</v>
      </c>
      <c r="E15" s="30" t="s">
        <v>68</v>
      </c>
      <c r="F15" s="30" t="s">
        <v>69</v>
      </c>
      <c r="H15" s="27" t="s">
        <v>32</v>
      </c>
      <c r="I15" s="28" t="n">
        <f aca="false">IF(AND(ISNUMBER(Loan_Amount),N(Loan_Amount)&gt;0,ISNUMBER(Term_Months),N(Term_Months)&gt;0,N(Annual_Rate)/12&gt;-1),Total_Repaid-Loan_Amount,"—")</f>
        <v>137411.34133805</v>
      </c>
    </row>
    <row r="16" customFormat="false" ht="15" hidden="false" customHeight="false" outlineLevel="0" collapsed="false">
      <c r="B16" s="31" t="s">
        <v>70</v>
      </c>
      <c r="C16" s="32" t="n">
        <f aca="false">IF(AND(ISNUMBER(Loan_Amount),N(Loan_Amount)&gt;0,ISNUMBER(Term_Months),N(Term_Months)&gt;0,N(Annual_Rate)/12&gt;-1),Monthly_Payment,"—")</f>
        <v>10623.5223556342</v>
      </c>
      <c r="D16" s="32" t="n">
        <f aca="false">IF(AND(ISNUMBER(Loan_Amount),N(Loan_Amount)&gt;0,ISNUMBER(Term_Months),N(Term_Months)&gt;0,N(Annual_Rate)/12&gt;-1),Loan_Amount*(N(Annual_Rate)/12),"—")</f>
        <v>4166.66666666667</v>
      </c>
      <c r="E16" s="32" t="n">
        <f aca="false">IF(AND(ISNUMBER(Loan_Amount),N(Loan_Amount)&gt;0,ISNUMBER(Term_Months),N(Term_Months)&gt;0,N(Annual_Rate)/12&gt;-1),Monthly_Payment-D16,"—")</f>
        <v>6456.8556889675</v>
      </c>
      <c r="F16" s="33" t="n">
        <f aca="false">IF(AND(AND(ISNUMBER(Loan_Amount),N(Loan_Amount)&gt;0,ISNUMBER(Term_Months),N(Term_Months)&gt;0,N(Annual_Rate)/12&gt;-1),N(C16)&lt;&gt;0),D16/C16,"—")</f>
        <v>0.392211408531266</v>
      </c>
      <c r="H16" s="27" t="s">
        <v>71</v>
      </c>
      <c r="I16" s="34" t="n">
        <f aca="false">IF(AND(ISNUMBER(Loan_Amount),N(Loan_Amount)&gt;0,ISNUMBER(Term_Months),N(Term_Months)&gt;0,N(Annual_Rate)/12&gt;-1),Total_Interest/Loan_Amount,"—")</f>
        <v>0.2748226826761</v>
      </c>
    </row>
    <row r="17" customFormat="false" ht="15" hidden="false" customHeight="false" outlineLevel="0" collapsed="false">
      <c r="B17" s="31" t="s">
        <v>72</v>
      </c>
      <c r="C17" s="32" t="n">
        <f aca="false">IF(AND(ISNUMBER(Loan_Amount),N(Loan_Amount)&gt;0,ISNUMBER(Term_Months),N(Term_Months)&gt;0,N(Annual_Rate)/12&gt;-1),Monthly_Payment,"—")</f>
        <v>10623.5223556342</v>
      </c>
      <c r="D17" s="32" t="n">
        <f aca="false">IF(AND(ISNUMBER(Loan_Amount),N(Loan_Amount)&gt;0,ISNUMBER(Term_Months),N(Term_Months)&gt;0,N(Annual_Rate)/12&gt;-1),Monthly_Payment-E17,"—")</f>
        <v>87.797705418463</v>
      </c>
      <c r="E17" s="32" t="n">
        <f aca="false">IF(AND(ISNUMBER(Loan_Amount),N(Loan_Amount)&gt;0,ISNUMBER(Term_Months),N(Term_Months)&gt;0,N(Annual_Rate)/12&gt;-1),Monthly_Payment/(1+(N(Annual_Rate)/12)),"—")</f>
        <v>10535.7246502157</v>
      </c>
      <c r="F17" s="33" t="n">
        <f aca="false">IF(AND(AND(ISNUMBER(Loan_Amount),N(Loan_Amount)&gt;0,ISNUMBER(Term_Months),N(Term_Months)&gt;0,N(Annual_Rate)/12&gt;-1),N(C17)&lt;&gt;0),D17/C17,"—")</f>
        <v>0.00826446280991725</v>
      </c>
      <c r="H17" s="27" t="s">
        <v>73</v>
      </c>
      <c r="I17" s="35" t="n">
        <f aca="false">IF(AND(ISNUMBER(Loan_Amount),N(Loan_Amount)&gt;0,ISNUMBER(Term_Months),N(Term_Months)&gt;0,N(Annual_Rate)/12&gt;-1),(N(Annual_Rate)/12),"—")</f>
        <v>0.00833333333333333</v>
      </c>
    </row>
    <row r="18" customFormat="false" ht="25.5" hidden="false" customHeight="true" outlineLevel="0" collapsed="false">
      <c r="B18" s="20" t="s">
        <v>74</v>
      </c>
      <c r="C18" s="20"/>
      <c r="D18" s="20"/>
      <c r="E18" s="20"/>
      <c r="F18" s="20"/>
      <c r="H18" s="36" t="str">
        <f aca="false">IF(AND(ISNUMBER(Loan_Amount),N(Loan_Amount)&gt;0,ISNUMBER(Term_Months),N(Term_Months)&gt;0,N(Annual_Rate)/12&gt;-1),"Reducing balance, "&amp;Term_Months&amp;" equal monthly payments.","")</f>
        <v>Reducing balance, 60 equal monthly payments.</v>
      </c>
      <c r="I18" s="36"/>
    </row>
    <row r="19" customFormat="false" ht="15" hidden="false" customHeight="false" outlineLevel="0" collapsed="false">
      <c r="B19" s="20"/>
      <c r="C19" s="20"/>
      <c r="D19" s="20"/>
      <c r="E19" s="20"/>
      <c r="F19" s="20"/>
      <c r="H19" s="16"/>
      <c r="I19" s="17"/>
    </row>
    <row r="21" customFormat="false" ht="19.5" hidden="false" customHeight="true" outlineLevel="0" collapsed="false">
      <c r="B21" s="5" t="s">
        <v>75</v>
      </c>
      <c r="C21" s="6"/>
      <c r="D21" s="6"/>
      <c r="E21" s="6"/>
      <c r="F21" s="6"/>
      <c r="H21" s="5" t="s">
        <v>76</v>
      </c>
      <c r="I21" s="6"/>
    </row>
    <row r="22" customFormat="false" ht="15" hidden="false" customHeight="true" outlineLevel="0" collapsed="false">
      <c r="B22" s="18" t="s">
        <v>30</v>
      </c>
      <c r="D22" s="32" t="n">
        <f aca="false">IF(AND(ISNUMBER(Loan_Amount),N(Loan_Amount)&gt;0,ISNUMBER(Term_Months),N(Term_Months)&gt;0,N(Annual_Rate)/12&gt;-1),PMT((N(Annual_Rate)/12),Term_Months,-Loan_Amount),"—")</f>
        <v>10623.5223556341</v>
      </c>
      <c r="E22" s="20" t="s">
        <v>77</v>
      </c>
      <c r="F22" s="20"/>
      <c r="H22" s="37" t="str">
        <f aca="false">IF(AND(ISNUMBER(Loan_Amount),N(Loan_Amount)&gt;0,ISNUMBER(Term_Months),N(Term_Months)&gt;0,N(Annual_Rate)/12&gt;-1),"You repay "&amp;TEXT(Total_Repaid,"#,##0.00")&amp;" in total on a "&amp;TEXT(Loan_Amount,"#,##0.00")&amp;" loan. The "&amp;TEXT(Total_Interest,"#,##0.00")&amp;" of interest is "&amp;TEXT(Interest_Pct*100,"0.00")&amp;"% of the amount borrowed, paid out over "&amp;Term_Months&amp;" months.",IF(AND(ISNUMBER(Loan_Amount),N(Loan_Amount)&gt;0,ISNUMBER(Term_Months),N(Term_Months)&gt;0),"Enter an annual rate above −1,200% to see a result.","Enter a loan amount and a term in months to see a result."))</f>
        <v>You repay 637,411.34 in total on a 500,000.00 loan. The 137,411.34 of interest is 27.48% of the amount borrowed, paid out over 60 months.</v>
      </c>
      <c r="I22" s="37"/>
    </row>
    <row r="23" customFormat="false" ht="15" hidden="false" customHeight="true" outlineLevel="0" collapsed="false">
      <c r="B23" s="18" t="s">
        <v>78</v>
      </c>
      <c r="D23" s="32" t="n">
        <f aca="false">IF(AND(ISNUMBER(Loan_Amount),N(Loan_Amount)&gt;0,ISNUMBER(Term_Months),N(Term_Months)&gt;0,N(Annual_Rate)/12&gt;-1),IPMT((N(Annual_Rate)/12),1,Term_Months,-Loan_Amount),"—")</f>
        <v>4166.66666666667</v>
      </c>
      <c r="E23" s="20" t="s">
        <v>79</v>
      </c>
      <c r="F23" s="20"/>
      <c r="H23" s="37"/>
      <c r="I23" s="37"/>
    </row>
    <row r="24" customFormat="false" ht="15" hidden="false" customHeight="true" outlineLevel="0" collapsed="false">
      <c r="B24" s="18" t="s">
        <v>80</v>
      </c>
      <c r="D24" s="32" t="n">
        <f aca="false">IF(AND(ISNUMBER(Loan_Amount),N(Loan_Amount)&gt;0,ISNUMBER(Term_Months),N(Term_Months)&gt;0,N(Annual_Rate)/12&gt;-1),PPMT((N(Annual_Rate)/12),1,Term_Months,-Loan_Amount),"—")</f>
        <v>6456.85568896747</v>
      </c>
      <c r="E24" s="20" t="s">
        <v>81</v>
      </c>
      <c r="F24" s="20"/>
      <c r="H24" s="37"/>
      <c r="I24" s="37"/>
    </row>
    <row r="25" customFormat="false" ht="15" hidden="false" customHeight="false" outlineLevel="0" collapsed="false">
      <c r="H25" s="37"/>
      <c r="I25" s="37"/>
    </row>
    <row r="26" customFormat="false" ht="15" hidden="false" customHeight="true" outlineLevel="0" collapsed="false">
      <c r="B26" s="20" t="s">
        <v>82</v>
      </c>
      <c r="C26" s="20"/>
      <c r="D26" s="20"/>
      <c r="E26" s="20"/>
      <c r="F26" s="20"/>
      <c r="H26" s="37"/>
      <c r="I26" s="37"/>
    </row>
    <row r="27" customFormat="false" ht="15" hidden="false" customHeight="false" outlineLevel="0" collapsed="false">
      <c r="H27" s="37"/>
      <c r="I27" s="37"/>
    </row>
    <row r="28" customFormat="false" ht="19.5" hidden="false" customHeight="true" outlineLevel="0" collapsed="false">
      <c r="B28" s="5" t="s">
        <v>83</v>
      </c>
      <c r="C28" s="6"/>
      <c r="D28" s="6"/>
      <c r="E28" s="6"/>
      <c r="F28" s="6"/>
    </row>
    <row r="29" customFormat="false" ht="19.5" hidden="false" customHeight="true" outlineLevel="0" collapsed="false">
      <c r="B29" s="7" t="s">
        <v>84</v>
      </c>
      <c r="C29" s="7"/>
      <c r="D29" s="7"/>
      <c r="E29" s="7"/>
      <c r="F29" s="7"/>
      <c r="H29" s="5" t="s">
        <v>85</v>
      </c>
      <c r="I29" s="6"/>
    </row>
    <row r="30" customFormat="false" ht="15" hidden="false" customHeight="false" outlineLevel="0" collapsed="false">
      <c r="B30" s="7"/>
      <c r="C30" s="7"/>
      <c r="D30" s="7"/>
      <c r="E30" s="7"/>
      <c r="F30" s="7"/>
      <c r="H30" s="38" t="str">
        <f aca="false">IF(NOT(ISNUMBER(Loan_Amount)),"Check — enter a loan amount",IF(Loan_Amount&lt;=0,"Check — the loan amount must be above zero","OK — loan amount entered"))</f>
        <v>OK — loan amount entered</v>
      </c>
      <c r="I30" s="38"/>
    </row>
    <row r="31" customFormat="false" ht="15" hidden="false" customHeight="false" outlineLevel="0" collapsed="false">
      <c r="B31" s="14" t="s">
        <v>86</v>
      </c>
      <c r="H31" s="38" t="str">
        <f aca="false">IF(ISBLANK(Annual_Rate),"Note — no rate entered, so 0% is used",IF(NOT(ISNUMBER(Annual_Rate)),"Check — the rate must be a number",IF(Annual_Rate&lt;0,"Note — a negative rate is unusual; check the figure",IF(Annual_Rate&gt;=1,"Note — the rate is 100% or more; did you mean "&amp;TEXT(Annual_Rate,"0.##")&amp;"%?","OK — rate entered"))))</f>
        <v>OK — rate entered</v>
      </c>
      <c r="I31" s="38"/>
    </row>
    <row r="32" customFormat="false" ht="15" hidden="false" customHeight="false" outlineLevel="0" collapsed="false">
      <c r="H32" s="38" t="str">
        <f aca="false">IF(NOT(ISNUMBER(Term_Months)),"Check — enter the term in months",IF(Term_Months&lt;=0,"Check — the term must be above zero",IF(Term_Months&lt;&gt;INT(Term_Months),"Note — the term is not a whole number of months","OK — "&amp;Term_Months&amp;" months")))</f>
        <v>OK — 60 months</v>
      </c>
      <c r="I32" s="38"/>
    </row>
    <row r="34" customFormat="false" ht="15" hidden="false" customHeight="true" outlineLevel="0" collapsed="false">
      <c r="H34" s="20" t="s">
        <v>87</v>
      </c>
      <c r="I34" s="20"/>
    </row>
    <row r="35" customFormat="false" ht="15" hidden="false" customHeight="false" outlineLevel="0" collapsed="false">
      <c r="H35" s="20"/>
      <c r="I35" s="20"/>
    </row>
  </sheetData>
  <mergeCells count="15">
    <mergeCell ref="E8:F8"/>
    <mergeCell ref="E10:F10"/>
    <mergeCell ref="H11:I12"/>
    <mergeCell ref="B18:F19"/>
    <mergeCell ref="H18:I18"/>
    <mergeCell ref="E22:F22"/>
    <mergeCell ref="H22:I27"/>
    <mergeCell ref="E23:F23"/>
    <mergeCell ref="E24:F24"/>
    <mergeCell ref="B26:F26"/>
    <mergeCell ref="B29:F30"/>
    <mergeCell ref="H30:I30"/>
    <mergeCell ref="H31:I31"/>
    <mergeCell ref="H32:I32"/>
    <mergeCell ref="H34:I35"/>
  </mergeCells>
  <conditionalFormatting sqref="C16">
    <cfRule type="expression" priority="2" aboveAverage="0" equalAverage="0" bottom="0" percent="0" rank="0" text="" dxfId="0">
      <formula>AND(ISNUMBER($C$16),$C$16&lt;0)</formula>
    </cfRule>
  </conditionalFormatting>
  <conditionalFormatting sqref="D16">
    <cfRule type="expression" priority="3" aboveAverage="0" equalAverage="0" bottom="0" percent="0" rank="0" text="" dxfId="0">
      <formula>AND(ISNUMBER($D$16),$D$16&lt;0)</formula>
    </cfRule>
  </conditionalFormatting>
  <conditionalFormatting sqref="E16">
    <cfRule type="expression" priority="4" aboveAverage="0" equalAverage="0" bottom="0" percent="0" rank="0" text="" dxfId="0">
      <formula>AND(ISNUMBER($E$16),$E$16&lt;0)</formula>
    </cfRule>
  </conditionalFormatting>
  <conditionalFormatting sqref="C17">
    <cfRule type="expression" priority="5" aboveAverage="0" equalAverage="0" bottom="0" percent="0" rank="0" text="" dxfId="0">
      <formula>AND(ISNUMBER($C$17),$C$17&lt;0)</formula>
    </cfRule>
  </conditionalFormatting>
  <conditionalFormatting sqref="D17">
    <cfRule type="expression" priority="6" aboveAverage="0" equalAverage="0" bottom="0" percent="0" rank="0" text="" dxfId="0">
      <formula>AND(ISNUMBER($D$17),$D$17&lt;0)</formula>
    </cfRule>
  </conditionalFormatting>
  <conditionalFormatting sqref="E17">
    <cfRule type="expression" priority="7" aboveAverage="0" equalAverage="0" bottom="0" percent="0" rank="0" text="" dxfId="0">
      <formula>AND(ISNUMBER($E$17),$E$17&lt;0)</formula>
    </cfRule>
  </conditionalFormatting>
  <conditionalFormatting sqref="H11">
    <cfRule type="expression" priority="8" aboveAverage="0" equalAverage="0" bottom="0" percent="0" rank="0" text="" dxfId="1">
      <formula>AND(ISNUMBER($H$11),$H$11&lt;0)</formula>
    </cfRule>
  </conditionalFormatting>
  <conditionalFormatting sqref="I14">
    <cfRule type="expression" priority="9" aboveAverage="0" equalAverage="0" bottom="0" percent="0" rank="0" text="" dxfId="2">
      <formula>AND(ISNUMBER($I$14),$I$14&lt;0)</formula>
    </cfRule>
  </conditionalFormatting>
  <conditionalFormatting sqref="I15">
    <cfRule type="expression" priority="10" aboveAverage="0" equalAverage="0" bottom="0" percent="0" rank="0" text="" dxfId="2">
      <formula>AND(ISNUMBER($I$15),$I$15&lt;0)</formula>
    </cfRule>
  </conditionalFormatting>
  <conditionalFormatting sqref="I16">
    <cfRule type="expression" priority="11" aboveAverage="0" equalAverage="0" bottom="0" percent="0" rank="0" text="" dxfId="2">
      <formula>AND(ISNUMBER($I$16),$I$16&lt;0)</formula>
    </cfRule>
  </conditionalFormatting>
  <conditionalFormatting sqref="I17">
    <cfRule type="expression" priority="12" aboveAverage="0" equalAverage="0" bottom="0" percent="0" rank="0" text="" dxfId="2">
      <formula>AND(ISNUMBER($I$17),$I$17&lt;0)</formula>
    </cfRule>
  </conditionalFormatting>
  <conditionalFormatting sqref="H30">
    <cfRule type="expression" priority="13" aboveAverage="0" equalAverage="0" bottom="0" percent="0" rank="0" text="" dxfId="3">
      <formula>LEFT(H30,5)="Check"</formula>
    </cfRule>
    <cfRule type="expression" priority="14" aboveAverage="0" equalAverage="0" bottom="0" percent="0" rank="0" text="" dxfId="4">
      <formula>LEFT(H30,2)="OK"</formula>
    </cfRule>
  </conditionalFormatting>
  <conditionalFormatting sqref="H31">
    <cfRule type="expression" priority="15" aboveAverage="0" equalAverage="0" bottom="0" percent="0" rank="0" text="" dxfId="3">
      <formula>LEFT(H31,5)="Check"</formula>
    </cfRule>
    <cfRule type="expression" priority="16" aboveAverage="0" equalAverage="0" bottom="0" percent="0" rank="0" text="" dxfId="4">
      <formula>LEFT(H31,2)="OK"</formula>
    </cfRule>
  </conditionalFormatting>
  <conditionalFormatting sqref="H32">
    <cfRule type="expression" priority="17" aboveAverage="0" equalAverage="0" bottom="0" percent="0" rank="0" text="" dxfId="3">
      <formula>LEFT(H32,5)="Check"</formula>
    </cfRule>
    <cfRule type="expression" priority="18" aboveAverage="0" equalAverage="0" bottom="0" percent="0" rank="0" text="" dxfId="4">
      <formula>LEFT(H32,2)="OK"</formula>
    </cfRule>
  </conditionalFormatting>
  <dataValidations count="3">
    <dataValidation allowBlank="true" error="Enter a number above zero." errorStyle="stop" errorTitle="Loan amount" operator="between" showDropDown="false" showErrorMessage="true" showInputMessage="false" sqref="D8" type="decimal">
      <formula1>-1000000000000000</formula1>
      <formula2>0</formula2>
    </dataValidation>
    <dataValidation allowBlank="true" error="Enter a rate, for example 10% or 0.10." errorStyle="stop" errorTitle="Annual interest rate" operator="between" showDropDown="false" showErrorMessage="true" showInputMessage="false" sqref="D10" type="decimal">
      <formula1>-1000000000000000</formula1>
      <formula2>0</formula2>
    </dataValidation>
    <dataValidation allowBlank="true" error="Enter the number of months, for example 60." errorStyle="stop" errorTitle="Term in months" operator="between" showDropDown="false" showErrorMessage="true" showInputMessage="false" sqref="D12" type="decimal">
      <formula1>-1000000000000000</formula1>
      <formula2>0</formula2>
    </dataValidation>
  </dataValidations>
  <hyperlinks>
    <hyperlink ref="B31" display="View the Loan Amortization Schedule Template →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K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10" min="3" style="0" width="13"/>
    <col collapsed="false" customWidth="true" hidden="false" outlineLevel="0" max="11" min="11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0" hidden="false" customHeight="true" outlineLevel="0" collapsed="false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</row>
    <row r="3" customFormat="false" ht="19.5" hidden="false" customHeight="true" outlineLevel="0" collapsed="false">
      <c r="A3" s="1"/>
      <c r="B3" s="3" t="s">
        <v>88</v>
      </c>
      <c r="C3" s="1"/>
      <c r="D3" s="1"/>
      <c r="E3" s="1"/>
      <c r="F3" s="1"/>
      <c r="G3" s="1"/>
      <c r="H3" s="1"/>
      <c r="I3" s="1"/>
      <c r="J3" s="1"/>
      <c r="K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7" customFormat="false" ht="15" hidden="false" customHeight="true" outlineLevel="0" collapsed="false">
      <c r="B7" s="31" t="s">
        <v>14</v>
      </c>
      <c r="C7" s="39" t="n">
        <f aca="false">IF(ISNUMBER(Loan_Amount),Loan_Amount,"—")</f>
        <v>500000</v>
      </c>
      <c r="D7" s="20" t="s">
        <v>89</v>
      </c>
      <c r="E7" s="20"/>
      <c r="F7" s="20"/>
      <c r="G7" s="20"/>
      <c r="H7" s="20"/>
      <c r="I7" s="20"/>
      <c r="J7" s="20"/>
    </row>
    <row r="9" customFormat="false" ht="19.5" hidden="false" customHeight="true" outlineLevel="0" collapsed="false">
      <c r="B9" s="5" t="s">
        <v>30</v>
      </c>
      <c r="C9" s="6"/>
      <c r="D9" s="6"/>
      <c r="E9" s="6"/>
      <c r="F9" s="6"/>
      <c r="G9" s="6"/>
      <c r="H9" s="6"/>
      <c r="I9" s="6"/>
      <c r="J9" s="6"/>
    </row>
    <row r="10" customFormat="false" ht="15" hidden="false" customHeight="false" outlineLevel="0" collapsed="false">
      <c r="B10" s="40" t="s">
        <v>90</v>
      </c>
      <c r="C10" s="41" t="n">
        <v>12</v>
      </c>
      <c r="D10" s="41" t="n">
        <v>24</v>
      </c>
      <c r="E10" s="41" t="n">
        <v>36</v>
      </c>
      <c r="F10" s="41" t="n">
        <v>60</v>
      </c>
      <c r="G10" s="41" t="n">
        <v>84</v>
      </c>
      <c r="H10" s="41" t="n">
        <v>120</v>
      </c>
      <c r="I10" s="41" t="n">
        <v>180</v>
      </c>
      <c r="J10" s="41" t="n">
        <v>240</v>
      </c>
    </row>
    <row r="11" customFormat="false" ht="15" hidden="false" customHeight="false" outlineLevel="0" collapsed="false">
      <c r="B11" s="22" t="n">
        <v>0.06</v>
      </c>
      <c r="C11" s="32" t="n">
        <f aca="false">IF(AND(ISNUMBER($C$7),N($C$7)&gt;0,N(C$10)&gt;0,N($B11)/12&gt;-1),IF((N($B11)/12)=0,$C$7/N(C$10),$C$7*(N($B11)/12)*(1+(N($B11)/12))^N(C$10)/((1+(N($B11)/12))^N(C$10)-1)),"—")</f>
        <v>43033.2148535412</v>
      </c>
      <c r="D11" s="32" t="n">
        <f aca="false">IF(AND(ISNUMBER($C$7),N($C$7)&gt;0,N(D$10)&gt;0,N($B11)/12&gt;-1),IF((N($B11)/12)=0,$C$7/N(D$10),$C$7*(N($B11)/12)*(1+(N($B11)/12))^N(D$10)/((1+(N($B11)/12))^N(D$10)-1)),"—")</f>
        <v>22160.3051263789</v>
      </c>
      <c r="E11" s="32" t="n">
        <f aca="false">IF(AND(ISNUMBER($C$7),N($C$7)&gt;0,N(E$10)&gt;0,N($B11)/12&gt;-1),IF((N($B11)/12)=0,$C$7/N(E$10),$C$7*(N($B11)/12)*(1+(N($B11)/12))^N(E$10)/((1+(N($B11)/12))^N(E$10)-1)),"—")</f>
        <v>15210.9687257779</v>
      </c>
      <c r="F11" s="32" t="n">
        <f aca="false">IF(AND(ISNUMBER($C$7),N($C$7)&gt;0,N(F$10)&gt;0,N($B11)/12&gt;-1),IF((N($B11)/12)=0,$C$7/N(F$10),$C$7*(N($B11)/12)*(1+(N($B11)/12))^N(F$10)/((1+(N($B11)/12))^N(F$10)-1)),"—")</f>
        <v>9666.40076471414</v>
      </c>
      <c r="G11" s="32" t="n">
        <f aca="false">IF(AND(ISNUMBER($C$7),N($C$7)&gt;0,N(G$10)&gt;0,N($B11)/12&gt;-1),IF((N($B11)/12)=0,$C$7/N(G$10),$C$7*(N($B11)/12)*(1+(N($B11)/12))^N(G$10)/((1+(N($B11)/12))^N(G$10)-1)),"—")</f>
        <v>7304.27724189052</v>
      </c>
      <c r="H11" s="32" t="n">
        <f aca="false">IF(AND(ISNUMBER($C$7),N($C$7)&gt;0,N(H$10)&gt;0,N($B11)/12&gt;-1),IF((N($B11)/12)=0,$C$7/N(H$10),$C$7*(N($B11)/12)*(1+(N($B11)/12))^N(H$10)/((1+(N($B11)/12))^N(H$10)-1)),"—")</f>
        <v>5551.02509708256</v>
      </c>
      <c r="I11" s="32" t="n">
        <f aca="false">IF(AND(ISNUMBER($C$7),N($C$7)&gt;0,N(I$10)&gt;0,N($B11)/12&gt;-1),IF((N($B11)/12)=0,$C$7/N(I$10),$C$7*(N($B11)/12)*(1+(N($B11)/12))^N(I$10)/((1+(N($B11)/12))^N(I$10)-1)),"—")</f>
        <v>4219.28414024231</v>
      </c>
      <c r="J11" s="32" t="n">
        <f aca="false">IF(AND(ISNUMBER($C$7),N($C$7)&gt;0,N(J$10)&gt;0,N($B11)/12&gt;-1),IF((N($B11)/12)=0,$C$7/N(J$10),$C$7*(N($B11)/12)*(1+(N($B11)/12))^N(J$10)/((1+(N($B11)/12))^N(J$10)-1)),"—")</f>
        <v>3582.15529239086</v>
      </c>
    </row>
    <row r="12" customFormat="false" ht="15" hidden="false" customHeight="false" outlineLevel="0" collapsed="false">
      <c r="B12" s="22" t="n">
        <v>0.08</v>
      </c>
      <c r="C12" s="32" t="n">
        <f aca="false">IF(AND(ISNUMBER($C$7),N($C$7)&gt;0,N(C$10)&gt;0,N($B12)/12&gt;-1),IF((N($B12)/12)=0,$C$7/N(C$10),$C$7*(N($B12)/12)*(1+(N($B12)/12))^N(C$10)/((1+(N($B12)/12))^N(C$10)-1)),"—")</f>
        <v>43494.214542711</v>
      </c>
      <c r="D12" s="32" t="n">
        <f aca="false">IF(AND(ISNUMBER($C$7),N($C$7)&gt;0,N(D$10)&gt;0,N($B12)/12&gt;-1),IF((N($B12)/12)=0,$C$7/N(D$10),$C$7*(N($B12)/12)*(1+(N($B12)/12))^N(D$10)/((1+(N($B12)/12))^N(D$10)-1)),"—")</f>
        <v>22613.6457280923</v>
      </c>
      <c r="E12" s="32" t="n">
        <f aca="false">IF(AND(ISNUMBER($C$7),N($C$7)&gt;0,N(E$10)&gt;0,N($B12)/12&gt;-1),IF((N($B12)/12)=0,$C$7/N(E$10),$C$7*(N($B12)/12)*(1+(N($B12)/12))^N(E$10)/((1+(N($B12)/12))^N(E$10)-1)),"—")</f>
        <v>15668.1827307156</v>
      </c>
      <c r="F12" s="32" t="n">
        <f aca="false">IF(AND(ISNUMBER($C$7),N($C$7)&gt;0,N(F$10)&gt;0,N($B12)/12&gt;-1),IF((N($B12)/12)=0,$C$7/N(F$10),$C$7*(N($B12)/12)*(1+(N($B12)/12))^N(F$10)/((1+(N($B12)/12))^N(F$10)-1)),"—")</f>
        <v>10138.1971442069</v>
      </c>
      <c r="G12" s="32" t="n">
        <f aca="false">IF(AND(ISNUMBER($C$7),N($C$7)&gt;0,N(G$10)&gt;0,N($B12)/12&gt;-1),IF((N($B12)/12)=0,$C$7/N(G$10),$C$7*(N($B12)/12)*(1+(N($B12)/12))^N(G$10)/((1+(N($B12)/12))^N(G$10)-1)),"—")</f>
        <v>7793.10720133483</v>
      </c>
      <c r="H12" s="32" t="n">
        <f aca="false">IF(AND(ISNUMBER($C$7),N($C$7)&gt;0,N(H$10)&gt;0,N($B12)/12&gt;-1),IF((N($B12)/12)=0,$C$7/N(H$10),$C$7*(N($B12)/12)*(1+(N($B12)/12))^N(H$10)/((1+(N($B12)/12))^N(H$10)-1)),"—")</f>
        <v>6066.37971776789</v>
      </c>
      <c r="I12" s="32" t="n">
        <f aca="false">IF(AND(ISNUMBER($C$7),N($C$7)&gt;0,N(I$10)&gt;0,N($B12)/12&gt;-1),IF((N($B12)/12)=0,$C$7/N(I$10),$C$7*(N($B12)/12)*(1+(N($B12)/12))^N(I$10)/((1+(N($B12)/12))^N(I$10)-1)),"—")</f>
        <v>4778.26042165178</v>
      </c>
      <c r="J12" s="32" t="n">
        <f aca="false">IF(AND(ISNUMBER($C$7),N($C$7)&gt;0,N(J$10)&gt;0,N($B12)/12&gt;-1),IF((N($B12)/12)=0,$C$7/N(J$10),$C$7*(N($B12)/12)*(1+(N($B12)/12))^N(J$10)/((1+(N($B12)/12))^N(J$10)-1)),"—")</f>
        <v>4182.20034496733</v>
      </c>
    </row>
    <row r="13" customFormat="false" ht="15" hidden="false" customHeight="false" outlineLevel="0" collapsed="false">
      <c r="B13" s="22" t="n">
        <v>0.1</v>
      </c>
      <c r="C13" s="32" t="n">
        <f aca="false">IF(AND(ISNUMBER($C$7),N($C$7)&gt;0,N(C$10)&gt;0,N($B13)/12&gt;-1),IF((N($B13)/12)=0,$C$7/N(C$10),$C$7*(N($B13)/12)*(1+(N($B13)/12))^N(C$10)/((1+(N($B13)/12))^N(C$10)-1)),"—")</f>
        <v>43957.943615005</v>
      </c>
      <c r="D13" s="32" t="n">
        <f aca="false">IF(AND(ISNUMBER($C$7),N($C$7)&gt;0,N(D$10)&gt;0,N($B13)/12&gt;-1),IF((N($B13)/12)=0,$C$7/N(D$10),$C$7*(N($B13)/12)*(1+(N($B13)/12))^N(D$10)/((1+(N($B13)/12))^N(D$10)-1)),"—")</f>
        <v>23072.4631687583</v>
      </c>
      <c r="E13" s="32" t="n">
        <f aca="false">IF(AND(ISNUMBER($C$7),N($C$7)&gt;0,N(E$10)&gt;0,N($B13)/12&gt;-1),IF((N($B13)/12)=0,$C$7/N(E$10),$C$7*(N($B13)/12)*(1+(N($B13)/12))^N(E$10)/((1+(N($B13)/12))^N(E$10)-1)),"—")</f>
        <v>16133.5935969188</v>
      </c>
      <c r="F13" s="32" t="n">
        <f aca="false">IF(AND(ISNUMBER($C$7),N($C$7)&gt;0,N(F$10)&gt;0,N($B13)/12&gt;-1),IF((N($B13)/12)=0,$C$7/N(F$10),$C$7*(N($B13)/12)*(1+(N($B13)/12))^N(F$10)/((1+(N($B13)/12))^N(F$10)-1)),"—")</f>
        <v>10623.5223556342</v>
      </c>
      <c r="G13" s="32" t="n">
        <f aca="false">IF(AND(ISNUMBER($C$7),N($C$7)&gt;0,N(G$10)&gt;0,N($B13)/12&gt;-1),IF((N($B13)/12)=0,$C$7/N(G$10),$C$7*(N($B13)/12)*(1+(N($B13)/12))^N(G$10)/((1+(N($B13)/12))^N(G$10)-1)),"—")</f>
        <v>8300.59201344297</v>
      </c>
      <c r="H13" s="32" t="n">
        <f aca="false">IF(AND(ISNUMBER($C$7),N($C$7)&gt;0,N(H$10)&gt;0,N($B13)/12&gt;-1),IF((N($B13)/12)=0,$C$7/N(H$10),$C$7*(N($B13)/12)*(1+(N($B13)/12))^N(H$10)/((1+(N($B13)/12))^N(H$10)-1)),"—")</f>
        <v>6607.5368440881</v>
      </c>
      <c r="I13" s="32" t="n">
        <f aca="false">IF(AND(ISNUMBER($C$7),N($C$7)&gt;0,N(I$10)&gt;0,N($B13)/12&gt;-1),IF((N($B13)/12)=0,$C$7/N(I$10),$C$7*(N($B13)/12)*(1+(N($B13)/12))^N(I$10)/((1+(N($B13)/12))^N(I$10)-1)),"—")</f>
        <v>5373.02558854059</v>
      </c>
      <c r="J13" s="32" t="n">
        <f aca="false">IF(AND(ISNUMBER($C$7),N($C$7)&gt;0,N(J$10)&gt;0,N($B13)/12&gt;-1),IF((N($B13)/12)=0,$C$7/N(J$10),$C$7*(N($B13)/12)*(1+(N($B13)/12))^N(J$10)/((1+(N($B13)/12))^N(J$10)-1)),"—")</f>
        <v>4825.10822537005</v>
      </c>
    </row>
    <row r="14" customFormat="false" ht="15" hidden="false" customHeight="false" outlineLevel="0" collapsed="false">
      <c r="B14" s="22" t="n">
        <v>0.12</v>
      </c>
      <c r="C14" s="32" t="n">
        <f aca="false">IF(AND(ISNUMBER($C$7),N($C$7)&gt;0,N(C$10)&gt;0,N($B14)/12&gt;-1),IF((N($B14)/12)=0,$C$7/N(C$10),$C$7*(N($B14)/12)*(1+(N($B14)/12))^N(C$10)/((1+(N($B14)/12))^N(C$10)-1)),"—")</f>
        <v>44424.3943391708</v>
      </c>
      <c r="D14" s="32" t="n">
        <f aca="false">IF(AND(ISNUMBER($C$7),N($C$7)&gt;0,N(D$10)&gt;0,N($B14)/12&gt;-1),IF((N($B14)/12)=0,$C$7/N(D$10),$C$7*(N($B14)/12)*(1+(N($B14)/12))^N(D$10)/((1+(N($B14)/12))^N(D$10)-1)),"—")</f>
        <v>23536.7361116323</v>
      </c>
      <c r="E14" s="32" t="n">
        <f aca="false">IF(AND(ISNUMBER($C$7),N($C$7)&gt;0,N(E$10)&gt;0,N($B14)/12&gt;-1),IF((N($B14)/12)=0,$C$7/N(E$10),$C$7*(N($B14)/12)*(1+(N($B14)/12))^N(E$10)/((1+(N($B14)/12))^N(E$10)-1)),"—")</f>
        <v>16607.1549064256</v>
      </c>
      <c r="F14" s="32" t="n">
        <f aca="false">IF(AND(ISNUMBER($C$7),N($C$7)&gt;0,N(F$10)&gt;0,N($B14)/12&gt;-1),IF((N($B14)/12)=0,$C$7/N(F$10),$C$7*(N($B14)/12)*(1+(N($B14)/12))^N(F$10)/((1+(N($B14)/12))^N(F$10)-1)),"—")</f>
        <v>11122.2238424509</v>
      </c>
      <c r="G14" s="32" t="n">
        <f aca="false">IF(AND(ISNUMBER($C$7),N($C$7)&gt;0,N(G$10)&gt;0,N($B14)/12&gt;-1),IF((N($B14)/12)=0,$C$7/N(G$10),$C$7*(N($B14)/12)*(1+(N($B14)/12))^N(G$10)/((1+(N($B14)/12))^N(G$10)-1)),"—")</f>
        <v>8826.36639853691</v>
      </c>
      <c r="H14" s="32" t="n">
        <f aca="false">IF(AND(ISNUMBER($C$7),N($C$7)&gt;0,N(H$10)&gt;0,N($B14)/12&gt;-1),IF((N($B14)/12)=0,$C$7/N(H$10),$C$7*(N($B14)/12)*(1+(N($B14)/12))^N(H$10)/((1+(N($B14)/12))^N(H$10)-1)),"—")</f>
        <v>7173.54742012937</v>
      </c>
      <c r="I14" s="32" t="n">
        <f aca="false">IF(AND(ISNUMBER($C$7),N($C$7)&gt;0,N(I$10)&gt;0,N($B14)/12&gt;-1),IF((N($B14)/12)=0,$C$7/N(I$10),$C$7*(N($B14)/12)*(1+(N($B14)/12))^N(I$10)/((1+(N($B14)/12))^N(I$10)-1)),"—")</f>
        <v>6000.84031045757</v>
      </c>
      <c r="J14" s="32" t="n">
        <f aca="false">IF(AND(ISNUMBER($C$7),N($C$7)&gt;0,N(J$10)&gt;0,N($B14)/12&gt;-1),IF((N($B14)/12)=0,$C$7/N(J$10),$C$7*(N($B14)/12)*(1+(N($B14)/12))^N(J$10)/((1+(N($B14)/12))^N(J$10)-1)),"—")</f>
        <v>5505.43066784805</v>
      </c>
    </row>
    <row r="15" customFormat="false" ht="15" hidden="false" customHeight="false" outlineLevel="0" collapsed="false">
      <c r="B15" s="22" t="n">
        <v>0.15</v>
      </c>
      <c r="C15" s="32" t="n">
        <f aca="false">IF(AND(ISNUMBER($C$7),N($C$7)&gt;0,N(C$10)&gt;0,N($B15)/12&gt;-1),IF((N($B15)/12)=0,$C$7/N(C$10),$C$7*(N($B15)/12)*(1+(N($B15)/12))^N(C$10)/((1+(N($B15)/12))^N(C$10)-1)),"—")</f>
        <v>45129.1561725786</v>
      </c>
      <c r="D15" s="32" t="n">
        <f aca="false">IF(AND(ISNUMBER($C$7),N($C$7)&gt;0,N(D$10)&gt;0,N($B15)/12&gt;-1),IF((N($B15)/12)=0,$C$7/N(D$10),$C$7*(N($B15)/12)*(1+(N($B15)/12))^N(D$10)/((1+(N($B15)/12))^N(D$10)-1)),"—")</f>
        <v>24243.3240234756</v>
      </c>
      <c r="E15" s="32" t="n">
        <f aca="false">IF(AND(ISNUMBER($C$7),N($C$7)&gt;0,N(E$10)&gt;0,N($B15)/12&gt;-1),IF((N($B15)/12)=0,$C$7/N(E$10),$C$7*(N($B15)/12)*(1+(N($B15)/12))^N(E$10)/((1+(N($B15)/12))^N(E$10)-1)),"—")</f>
        <v>17332.6642520971</v>
      </c>
      <c r="F15" s="32" t="n">
        <f aca="false">IF(AND(ISNUMBER($C$7),N($C$7)&gt;0,N(F$10)&gt;0,N($B15)/12&gt;-1),IF((N($B15)/12)=0,$C$7/N(F$10),$C$7*(N($B15)/12)*(1+(N($B15)/12))^N(F$10)/((1+(N($B15)/12))^N(F$10)-1)),"—")</f>
        <v>11894.9650431794</v>
      </c>
      <c r="G15" s="32" t="n">
        <f aca="false">IF(AND(ISNUMBER($C$7),N($C$7)&gt;0,N(G$10)&gt;0,N($B15)/12&gt;-1),IF((N($B15)/12)=0,$C$7/N(G$10),$C$7*(N($B15)/12)*(1+(N($B15)/12))^N(G$10)/((1+(N($B15)/12))^N(G$10)-1)),"—")</f>
        <v>9648.37736769077</v>
      </c>
      <c r="H15" s="32" t="n">
        <f aca="false">IF(AND(ISNUMBER($C$7),N($C$7)&gt;0,N(H$10)&gt;0,N($B15)/12&gt;-1),IF((N($B15)/12)=0,$C$7/N(H$10),$C$7*(N($B15)/12)*(1+(N($B15)/12))^N(H$10)/((1+(N($B15)/12))^N(H$10)-1)),"—")</f>
        <v>8066.74785371579</v>
      </c>
      <c r="I15" s="32" t="n">
        <f aca="false">IF(AND(ISNUMBER($C$7),N($C$7)&gt;0,N(I$10)&gt;0,N($B15)/12&gt;-1),IF((N($B15)/12)=0,$C$7/N(I$10),$C$7*(N($B15)/12)*(1+(N($B15)/12))^N(I$10)/((1+(N($B15)/12))^N(I$10)-1)),"—")</f>
        <v>6997.93559372287</v>
      </c>
      <c r="J15" s="32" t="n">
        <f aca="false">IF(AND(ISNUMBER($C$7),N($C$7)&gt;0,N(J$10)&gt;0,N($B15)/12&gt;-1),IF((N($B15)/12)=0,$C$7/N(J$10),$C$7*(N($B15)/12)*(1+(N($B15)/12))^N(J$10)/((1+(N($B15)/12))^N(J$10)-1)),"—")</f>
        <v>6583.94791293319</v>
      </c>
    </row>
    <row r="16" customFormat="false" ht="15" hidden="false" customHeight="false" outlineLevel="0" collapsed="false">
      <c r="B16" s="22" t="n">
        <v>0.2</v>
      </c>
      <c r="C16" s="32" t="n">
        <f aca="false">IF(AND(ISNUMBER($C$7),N($C$7)&gt;0,N(C$10)&gt;0,N($B16)/12&gt;-1),IF((N($B16)/12)=0,$C$7/N(C$10),$C$7*(N($B16)/12)*(1+(N($B16)/12))^N(C$10)/((1+(N($B16)/12))^N(C$10)-1)),"—")</f>
        <v>46317.2529485402</v>
      </c>
      <c r="D16" s="32" t="n">
        <f aca="false">IF(AND(ISNUMBER($C$7),N($C$7)&gt;0,N(D$10)&gt;0,N($B16)/12&gt;-1),IF((N($B16)/12)=0,$C$7/N(D$10),$C$7*(N($B16)/12)*(1+(N($B16)/12))^N(D$10)/((1+(N($B16)/12))^N(D$10)-1)),"—")</f>
        <v>25447.9013216195</v>
      </c>
      <c r="E16" s="32" t="n">
        <f aca="false">IF(AND(ISNUMBER($C$7),N($C$7)&gt;0,N(E$10)&gt;0,N($B16)/12&gt;-1),IF((N($B16)/12)=0,$C$7/N(E$10),$C$7*(N($B16)/12)*(1+(N($B16)/12))^N(E$10)/((1+(N($B16)/12))^N(E$10)-1)),"—")</f>
        <v>18581.7916798703</v>
      </c>
      <c r="F16" s="32" t="n">
        <f aca="false">IF(AND(ISNUMBER($C$7),N($C$7)&gt;0,N(F$10)&gt;0,N($B16)/12&gt;-1),IF((N($B16)/12)=0,$C$7/N(F$10),$C$7*(N($B16)/12)*(1+(N($B16)/12))^N(F$10)/((1+(N($B16)/12))^N(F$10)-1)),"—")</f>
        <v>13246.9418574931</v>
      </c>
      <c r="G16" s="32" t="n">
        <f aca="false">IF(AND(ISNUMBER($C$7),N($C$7)&gt;0,N(G$10)&gt;0,N($B16)/12&gt;-1),IF((N($B16)/12)=0,$C$7/N(G$10),$C$7*(N($B16)/12)*(1+(N($B16)/12))^N(G$10)/((1+(N($B16)/12))^N(G$10)-1)),"—")</f>
        <v>11103.0996454077</v>
      </c>
      <c r="H16" s="32" t="n">
        <f aca="false">IF(AND(ISNUMBER($C$7),N($C$7)&gt;0,N(H$10)&gt;0,N($B16)/12&gt;-1),IF((N($B16)/12)=0,$C$7/N(H$10),$C$7*(N($B16)/12)*(1+(N($B16)/12))^N(H$10)/((1+(N($B16)/12))^N(H$10)-1)),"—")</f>
        <v>9662.7836099663</v>
      </c>
      <c r="I16" s="32" t="n">
        <f aca="false">IF(AND(ISNUMBER($C$7),N($C$7)&gt;0,N(I$10)&gt;0,N($B16)/12&gt;-1),IF((N($B16)/12)=0,$C$7/N(I$10),$C$7*(N($B16)/12)*(1+(N($B16)/12))^N(I$10)/((1+(N($B16)/12))^N(I$10)-1)),"—")</f>
        <v>8781.48251535326</v>
      </c>
      <c r="J16" s="32" t="n">
        <f aca="false">IF(AND(ISNUMBER($C$7),N($C$7)&gt;0,N(J$10)&gt;0,N($B16)/12&gt;-1),IF((N($B16)/12)=0,$C$7/N(J$10),$C$7*(N($B16)/12)*(1+(N($B16)/12))^N(J$10)/((1+(N($B16)/12))^N(J$10)-1)),"—")</f>
        <v>8494.12303779861</v>
      </c>
    </row>
    <row r="20" customFormat="false" ht="19.5" hidden="false" customHeight="true" outlineLevel="0" collapsed="false">
      <c r="B20" s="5" t="s">
        <v>91</v>
      </c>
      <c r="C20" s="6"/>
      <c r="D20" s="6"/>
      <c r="E20" s="6"/>
      <c r="F20" s="6"/>
      <c r="G20" s="6"/>
      <c r="H20" s="6"/>
      <c r="I20" s="6"/>
      <c r="J20" s="6"/>
    </row>
    <row r="21" customFormat="false" ht="15" hidden="false" customHeight="false" outlineLevel="0" collapsed="false">
      <c r="B21" s="40" t="s">
        <v>90</v>
      </c>
      <c r="C21" s="42" t="n">
        <f aca="false">C10</f>
        <v>12</v>
      </c>
      <c r="D21" s="42" t="n">
        <f aca="false">D10</f>
        <v>24</v>
      </c>
      <c r="E21" s="42" t="n">
        <f aca="false">E10</f>
        <v>36</v>
      </c>
      <c r="F21" s="42" t="n">
        <f aca="false">F10</f>
        <v>60</v>
      </c>
      <c r="G21" s="42" t="n">
        <f aca="false">G10</f>
        <v>84</v>
      </c>
      <c r="H21" s="42" t="n">
        <f aca="false">H10</f>
        <v>120</v>
      </c>
      <c r="I21" s="42" t="n">
        <f aca="false">I10</f>
        <v>180</v>
      </c>
      <c r="J21" s="42" t="n">
        <f aca="false">J10</f>
        <v>240</v>
      </c>
    </row>
    <row r="22" customFormat="false" ht="15" hidden="false" customHeight="false" outlineLevel="0" collapsed="false">
      <c r="B22" s="43" t="n">
        <f aca="false">B11</f>
        <v>0.06</v>
      </c>
      <c r="C22" s="32" t="n">
        <f aca="false">IF(AND(ISNUMBER($C$7),N($C$7)&gt;0,N(C$10)&gt;0,N($B11)/12&gt;-1),IF((N($B11)/12)=0,$C$7/N(C$10),$C$7*(N($B11)/12)*(1+(N($B11)/12))^N(C$10)/((1+(N($B11)/12))^N(C$10)-1))*N(C$10)-$C$7,"—")</f>
        <v>16398.5782424942</v>
      </c>
      <c r="D22" s="32" t="n">
        <f aca="false">IF(AND(ISNUMBER($C$7),N($C$7)&gt;0,N(D$10)&gt;0,N($B11)/12&gt;-1),IF((N($B11)/12)=0,$C$7/N(D$10),$C$7*(N($B11)/12)*(1+(N($B11)/12))^N(D$10)/((1+(N($B11)/12))^N(D$10)-1))*N(D$10)-$C$7,"—")</f>
        <v>31847.3230330935</v>
      </c>
      <c r="E22" s="32" t="n">
        <f aca="false">IF(AND(ISNUMBER($C$7),N($C$7)&gt;0,N(E$10)&gt;0,N($B11)/12&gt;-1),IF((N($B11)/12)=0,$C$7/N(E$10),$C$7*(N($B11)/12)*(1+(N($B11)/12))^N(E$10)/((1+(N($B11)/12))^N(E$10)-1))*N(E$10)-$C$7,"—")</f>
        <v>47594.8741280029</v>
      </c>
      <c r="F22" s="32" t="n">
        <f aca="false">IF(AND(ISNUMBER($C$7),N($C$7)&gt;0,N(F$10)&gt;0,N($B11)/12&gt;-1),IF((N($B11)/12)=0,$C$7/N(F$10),$C$7*(N($B11)/12)*(1+(N($B11)/12))^N(F$10)/((1+(N($B11)/12))^N(F$10)-1))*N(F$10)-$C$7,"—")</f>
        <v>79984.0458828481</v>
      </c>
      <c r="G22" s="32" t="n">
        <f aca="false">IF(AND(ISNUMBER($C$7),N($C$7)&gt;0,N(G$10)&gt;0,N($B11)/12&gt;-1),IF((N($B11)/12)=0,$C$7/N(G$10),$C$7*(N($B11)/12)*(1+(N($B11)/12))^N(G$10)/((1+(N($B11)/12))^N(G$10)-1))*N(G$10)-$C$7,"—")</f>
        <v>113559.288318804</v>
      </c>
      <c r="H22" s="32" t="n">
        <f aca="false">IF(AND(ISNUMBER($C$7),N($C$7)&gt;0,N(H$10)&gt;0,N($B11)/12&gt;-1),IF((N($B11)/12)=0,$C$7/N(H$10),$C$7*(N($B11)/12)*(1+(N($B11)/12))^N(H$10)/((1+(N($B11)/12))^N(H$10)-1))*N(H$10)-$C$7,"—")</f>
        <v>166123.011649907</v>
      </c>
      <c r="I22" s="32" t="n">
        <f aca="false">IF(AND(ISNUMBER($C$7),N($C$7)&gt;0,N(I$10)&gt;0,N($B11)/12&gt;-1),IF((N($B11)/12)=0,$C$7/N(I$10),$C$7*(N($B11)/12)*(1+(N($B11)/12))^N(I$10)/((1+(N($B11)/12))^N(I$10)-1))*N(I$10)-$C$7,"—")</f>
        <v>259471.145243616</v>
      </c>
      <c r="J22" s="32" t="n">
        <f aca="false">IF(AND(ISNUMBER($C$7),N($C$7)&gt;0,N(J$10)&gt;0,N($B11)/12&gt;-1),IF((N($B11)/12)=0,$C$7/N(J$10),$C$7*(N($B11)/12)*(1+(N($B11)/12))^N(J$10)/((1+(N($B11)/12))^N(J$10)-1))*N(J$10)-$C$7,"—")</f>
        <v>359717.270173807</v>
      </c>
    </row>
    <row r="23" customFormat="false" ht="15" hidden="false" customHeight="false" outlineLevel="0" collapsed="false">
      <c r="B23" s="43" t="n">
        <f aca="false">B12</f>
        <v>0.08</v>
      </c>
      <c r="C23" s="32" t="n">
        <f aca="false">IF(AND(ISNUMBER($C$7),N($C$7)&gt;0,N(C$10)&gt;0,N($B12)/12&gt;-1),IF((N($B12)/12)=0,$C$7/N(C$10),$C$7*(N($B12)/12)*(1+(N($B12)/12))^N(C$10)/((1+(N($B12)/12))^N(C$10)-1))*N(C$10)-$C$7,"—")</f>
        <v>21930.5745125321</v>
      </c>
      <c r="D23" s="32" t="n">
        <f aca="false">IF(AND(ISNUMBER($C$7),N($C$7)&gt;0,N(D$10)&gt;0,N($B12)/12&gt;-1),IF((N($B12)/12)=0,$C$7/N(D$10),$C$7*(N($B12)/12)*(1+(N($B12)/12))^N(D$10)/((1+(N($B12)/12))^N(D$10)-1))*N(D$10)-$C$7,"—")</f>
        <v>42727.4974742151</v>
      </c>
      <c r="E23" s="32" t="n">
        <f aca="false">IF(AND(ISNUMBER($C$7),N($C$7)&gt;0,N(E$10)&gt;0,N($B12)/12&gt;-1),IF((N($B12)/12)=0,$C$7/N(E$10),$C$7*(N($B12)/12)*(1+(N($B12)/12))^N(E$10)/((1+(N($B12)/12))^N(E$10)-1))*N(E$10)-$C$7,"—")</f>
        <v>64054.5783057602</v>
      </c>
      <c r="F23" s="32" t="n">
        <f aca="false">IF(AND(ISNUMBER($C$7),N($C$7)&gt;0,N(F$10)&gt;0,N($B12)/12&gt;-1),IF((N($B12)/12)=0,$C$7/N(F$10),$C$7*(N($B12)/12)*(1+(N($B12)/12))^N(F$10)/((1+(N($B12)/12))^N(F$10)-1))*N(F$10)-$C$7,"—")</f>
        <v>108291.828652415</v>
      </c>
      <c r="G23" s="32" t="n">
        <f aca="false">IF(AND(ISNUMBER($C$7),N($C$7)&gt;0,N(G$10)&gt;0,N($B12)/12&gt;-1),IF((N($B12)/12)=0,$C$7/N(G$10),$C$7*(N($B12)/12)*(1+(N($B12)/12))^N(G$10)/((1+(N($B12)/12))^N(G$10)-1))*N(G$10)-$C$7,"—")</f>
        <v>154621.004912126</v>
      </c>
      <c r="H23" s="32" t="n">
        <f aca="false">IF(AND(ISNUMBER($C$7),N($C$7)&gt;0,N(H$10)&gt;0,N($B12)/12&gt;-1),IF((N($B12)/12)=0,$C$7/N(H$10),$C$7*(N($B12)/12)*(1+(N($B12)/12))^N(H$10)/((1+(N($B12)/12))^N(H$10)-1))*N(H$10)-$C$7,"—")</f>
        <v>227965.566132146</v>
      </c>
      <c r="I23" s="32" t="n">
        <f aca="false">IF(AND(ISNUMBER($C$7),N($C$7)&gt;0,N(I$10)&gt;0,N($B12)/12&gt;-1),IF((N($B12)/12)=0,$C$7/N(I$10),$C$7*(N($B12)/12)*(1+(N($B12)/12))^N(I$10)/((1+(N($B12)/12))^N(I$10)-1))*N(I$10)-$C$7,"—")</f>
        <v>360086.875897321</v>
      </c>
      <c r="J23" s="32" t="n">
        <f aca="false">IF(AND(ISNUMBER($C$7),N($C$7)&gt;0,N(J$10)&gt;0,N($B12)/12&gt;-1),IF((N($B12)/12)=0,$C$7/N(J$10),$C$7*(N($B12)/12)*(1+(N($B12)/12))^N(J$10)/((1+(N($B12)/12))^N(J$10)-1))*N(J$10)-$C$7,"—")</f>
        <v>503728.08279216</v>
      </c>
    </row>
    <row r="24" customFormat="false" ht="15" hidden="false" customHeight="false" outlineLevel="0" collapsed="false">
      <c r="B24" s="43" t="n">
        <f aca="false">B13</f>
        <v>0.1</v>
      </c>
      <c r="C24" s="32" t="n">
        <f aca="false">IF(AND(ISNUMBER($C$7),N($C$7)&gt;0,N(C$10)&gt;0,N($B13)/12&gt;-1),IF((N($B13)/12)=0,$C$7/N(C$10),$C$7*(N($B13)/12)*(1+(N($B13)/12))^N(C$10)/((1+(N($B13)/12))^N(C$10)-1))*N(C$10)-$C$7,"—")</f>
        <v>27495.3233800594</v>
      </c>
      <c r="D24" s="32" t="n">
        <f aca="false">IF(AND(ISNUMBER($C$7),N($C$7)&gt;0,N(D$10)&gt;0,N($B13)/12&gt;-1),IF((N($B13)/12)=0,$C$7/N(D$10),$C$7*(N($B13)/12)*(1+(N($B13)/12))^N(D$10)/((1+(N($B13)/12))^N(D$10)-1))*N(D$10)-$C$7,"—")</f>
        <v>53739.1160501998</v>
      </c>
      <c r="E24" s="32" t="n">
        <f aca="false">IF(AND(ISNUMBER($C$7),N($C$7)&gt;0,N(E$10)&gt;0,N($B13)/12&gt;-1),IF((N($B13)/12)=0,$C$7/N(E$10),$C$7*(N($B13)/12)*(1+(N($B13)/12))^N(E$10)/((1+(N($B13)/12))^N(E$10)-1))*N(E$10)-$C$7,"—")</f>
        <v>80809.3694890764</v>
      </c>
      <c r="F24" s="32" t="n">
        <f aca="false">IF(AND(ISNUMBER($C$7),N($C$7)&gt;0,N(F$10)&gt;0,N($B13)/12&gt;-1),IF((N($B13)/12)=0,$C$7/N(F$10),$C$7*(N($B13)/12)*(1+(N($B13)/12))^N(F$10)/((1+(N($B13)/12))^N(F$10)-1))*N(F$10)-$C$7,"—")</f>
        <v>137411.34133805</v>
      </c>
      <c r="G24" s="32" t="n">
        <f aca="false">IF(AND(ISNUMBER($C$7),N($C$7)&gt;0,N(G$10)&gt;0,N($B13)/12&gt;-1),IF((N($B13)/12)=0,$C$7/N(G$10),$C$7*(N($B13)/12)*(1+(N($B13)/12))^N(G$10)/((1+(N($B13)/12))^N(G$10)-1))*N(G$10)-$C$7,"—")</f>
        <v>197249.72912921</v>
      </c>
      <c r="H24" s="32" t="n">
        <f aca="false">IF(AND(ISNUMBER($C$7),N($C$7)&gt;0,N(H$10)&gt;0,N($B13)/12&gt;-1),IF((N($B13)/12)=0,$C$7/N(H$10),$C$7*(N($B13)/12)*(1+(N($B13)/12))^N(H$10)/((1+(N($B13)/12))^N(H$10)-1))*N(H$10)-$C$7,"—")</f>
        <v>292904.421290572</v>
      </c>
      <c r="I24" s="32" t="n">
        <f aca="false">IF(AND(ISNUMBER($C$7),N($C$7)&gt;0,N(I$10)&gt;0,N($B13)/12&gt;-1),IF((N($B13)/12)=0,$C$7/N(I$10),$C$7*(N($B13)/12)*(1+(N($B13)/12))^N(I$10)/((1+(N($B13)/12))^N(I$10)-1))*N(I$10)-$C$7,"—")</f>
        <v>467144.605937306</v>
      </c>
      <c r="J24" s="32" t="n">
        <f aca="false">IF(AND(ISNUMBER($C$7),N($C$7)&gt;0,N(J$10)&gt;0,N($B13)/12&gt;-1),IF((N($B13)/12)=0,$C$7/N(J$10),$C$7*(N($B13)/12)*(1+(N($B13)/12))^N(J$10)/((1+(N($B13)/12))^N(J$10)-1))*N(J$10)-$C$7,"—")</f>
        <v>658025.974088811</v>
      </c>
    </row>
    <row r="25" customFormat="false" ht="15" hidden="false" customHeight="false" outlineLevel="0" collapsed="false">
      <c r="B25" s="43" t="n">
        <f aca="false">B14</f>
        <v>0.12</v>
      </c>
      <c r="C25" s="32" t="n">
        <f aca="false">IF(AND(ISNUMBER($C$7),N($C$7)&gt;0,N(C$10)&gt;0,N($B14)/12&gt;-1),IF((N($B14)/12)=0,$C$7/N(C$10),$C$7*(N($B14)/12)*(1+(N($B14)/12))^N(C$10)/((1+(N($B14)/12))^N(C$10)-1))*N(C$10)-$C$7,"—")</f>
        <v>33092.7320700501</v>
      </c>
      <c r="D25" s="32" t="n">
        <f aca="false">IF(AND(ISNUMBER($C$7),N($C$7)&gt;0,N(D$10)&gt;0,N($B14)/12&gt;-1),IF((N($B14)/12)=0,$C$7/N(D$10),$C$7*(N($B14)/12)*(1+(N($B14)/12))^N(D$10)/((1+(N($B14)/12))^N(D$10)-1))*N(D$10)-$C$7,"—")</f>
        <v>64881.666679176</v>
      </c>
      <c r="E25" s="32" t="n">
        <f aca="false">IF(AND(ISNUMBER($C$7),N($C$7)&gt;0,N(E$10)&gt;0,N($B14)/12&gt;-1),IF((N($B14)/12)=0,$C$7/N(E$10),$C$7*(N($B14)/12)*(1+(N($B14)/12))^N(E$10)/((1+(N($B14)/12))^N(E$10)-1))*N(E$10)-$C$7,"—")</f>
        <v>97857.5766313209</v>
      </c>
      <c r="F25" s="32" t="n">
        <f aca="false">IF(AND(ISNUMBER($C$7),N($C$7)&gt;0,N(F$10)&gt;0,N($B14)/12&gt;-1),IF((N($B14)/12)=0,$C$7/N(F$10),$C$7*(N($B14)/12)*(1+(N($B14)/12))^N(F$10)/((1+(N($B14)/12))^N(F$10)-1))*N(F$10)-$C$7,"—")</f>
        <v>167333.430547053</v>
      </c>
      <c r="G25" s="32" t="n">
        <f aca="false">IF(AND(ISNUMBER($C$7),N($C$7)&gt;0,N(G$10)&gt;0,N($B14)/12&gt;-1),IF((N($B14)/12)=0,$C$7/N(G$10),$C$7*(N($B14)/12)*(1+(N($B14)/12))^N(G$10)/((1+(N($B14)/12))^N(G$10)-1))*N(G$10)-$C$7,"—")</f>
        <v>241414.7774771</v>
      </c>
      <c r="H25" s="32" t="n">
        <f aca="false">IF(AND(ISNUMBER($C$7),N($C$7)&gt;0,N(H$10)&gt;0,N($B14)/12&gt;-1),IF((N($B14)/12)=0,$C$7/N(H$10),$C$7*(N($B14)/12)*(1+(N($B14)/12))^N(H$10)/((1+(N($B14)/12))^N(H$10)-1))*N(H$10)-$C$7,"—")</f>
        <v>360825.690415524</v>
      </c>
      <c r="I25" s="32" t="n">
        <f aca="false">IF(AND(ISNUMBER($C$7),N($C$7)&gt;0,N(I$10)&gt;0,N($B14)/12&gt;-1),IF((N($B14)/12)=0,$C$7/N(I$10),$C$7*(N($B14)/12)*(1+(N($B14)/12))^N(I$10)/((1+(N($B14)/12))^N(I$10)-1))*N(I$10)-$C$7,"—")</f>
        <v>580151.255882362</v>
      </c>
      <c r="J25" s="32" t="n">
        <f aca="false">IF(AND(ISNUMBER($C$7),N($C$7)&gt;0,N(J$10)&gt;0,N($B14)/12&gt;-1),IF((N($B14)/12)=0,$C$7/N(J$10),$C$7*(N($B14)/12)*(1+(N($B14)/12))^N(J$10)/((1+(N($B14)/12))^N(J$10)-1))*N(J$10)-$C$7,"—")</f>
        <v>821303.360283532</v>
      </c>
    </row>
    <row r="26" customFormat="false" ht="15" hidden="false" customHeight="false" outlineLevel="0" collapsed="false">
      <c r="B26" s="43" t="n">
        <f aca="false">B15</f>
        <v>0.15</v>
      </c>
      <c r="C26" s="32" t="n">
        <f aca="false">IF(AND(ISNUMBER($C$7),N($C$7)&gt;0,N(C$10)&gt;0,N($B15)/12&gt;-1),IF((N($B15)/12)=0,$C$7/N(C$10),$C$7*(N($B15)/12)*(1+(N($B15)/12))^N(C$10)/((1+(N($B15)/12))^N(C$10)-1))*N(C$10)-$C$7,"—")</f>
        <v>41549.8740709433</v>
      </c>
      <c r="D26" s="32" t="n">
        <f aca="false">IF(AND(ISNUMBER($C$7),N($C$7)&gt;0,N(D$10)&gt;0,N($B15)/12&gt;-1),IF((N($B15)/12)=0,$C$7/N(D$10),$C$7*(N($B15)/12)*(1+(N($B15)/12))^N(D$10)/((1+(N($B15)/12))^N(D$10)-1))*N(D$10)-$C$7,"—")</f>
        <v>81839.7765634138</v>
      </c>
      <c r="E26" s="32" t="n">
        <f aca="false">IF(AND(ISNUMBER($C$7),N($C$7)&gt;0,N(E$10)&gt;0,N($B15)/12&gt;-1),IF((N($B15)/12)=0,$C$7/N(E$10),$C$7*(N($B15)/12)*(1+(N($B15)/12))^N(E$10)/((1+(N($B15)/12))^N(E$10)-1))*N(E$10)-$C$7,"—")</f>
        <v>123975.913075496</v>
      </c>
      <c r="F26" s="32" t="n">
        <f aca="false">IF(AND(ISNUMBER($C$7),N($C$7)&gt;0,N(F$10)&gt;0,N($B15)/12&gt;-1),IF((N($B15)/12)=0,$C$7/N(F$10),$C$7*(N($B15)/12)*(1+(N($B15)/12))^N(F$10)/((1+(N($B15)/12))^N(F$10)-1))*N(F$10)-$C$7,"—")</f>
        <v>213697.902590764</v>
      </c>
      <c r="G26" s="32" t="n">
        <f aca="false">IF(AND(ISNUMBER($C$7),N($C$7)&gt;0,N(G$10)&gt;0,N($B15)/12&gt;-1),IF((N($B15)/12)=0,$C$7/N(G$10),$C$7*(N($B15)/12)*(1+(N($B15)/12))^N(G$10)/((1+(N($B15)/12))^N(G$10)-1))*N(G$10)-$C$7,"—")</f>
        <v>310463.698886024</v>
      </c>
      <c r="H26" s="32" t="n">
        <f aca="false">IF(AND(ISNUMBER($C$7),N($C$7)&gt;0,N(H$10)&gt;0,N($B15)/12&gt;-1),IF((N($B15)/12)=0,$C$7/N(H$10),$C$7*(N($B15)/12)*(1+(N($B15)/12))^N(H$10)/((1+(N($B15)/12))^N(H$10)-1))*N(H$10)-$C$7,"—")</f>
        <v>468009.742445895</v>
      </c>
      <c r="I26" s="32" t="n">
        <f aca="false">IF(AND(ISNUMBER($C$7),N($C$7)&gt;0,N(I$10)&gt;0,N($B15)/12&gt;-1),IF((N($B15)/12)=0,$C$7/N(I$10),$C$7*(N($B15)/12)*(1+(N($B15)/12))^N(I$10)/((1+(N($B15)/12))^N(I$10)-1))*N(I$10)-$C$7,"—")</f>
        <v>759628.406870116</v>
      </c>
      <c r="J26" s="32" t="n">
        <f aca="false">IF(AND(ISNUMBER($C$7),N($C$7)&gt;0,N(J$10)&gt;0,N($B15)/12&gt;-1),IF((N($B15)/12)=0,$C$7/N(J$10),$C$7*(N($B15)/12)*(1+(N($B15)/12))^N(J$10)/((1+(N($B15)/12))^N(J$10)-1))*N(J$10)-$C$7,"—")</f>
        <v>1080147.49910397</v>
      </c>
    </row>
    <row r="27" customFormat="false" ht="15" hidden="false" customHeight="false" outlineLevel="0" collapsed="false">
      <c r="B27" s="43" t="n">
        <f aca="false">B16</f>
        <v>0.2</v>
      </c>
      <c r="C27" s="32" t="n">
        <f aca="false">IF(AND(ISNUMBER($C$7),N($C$7)&gt;0,N(C$10)&gt;0,N($B16)/12&gt;-1),IF((N($B16)/12)=0,$C$7/N(C$10),$C$7*(N($B16)/12)*(1+(N($B16)/12))^N(C$10)/((1+(N($B16)/12))^N(C$10)-1))*N(C$10)-$C$7,"—")</f>
        <v>55807.035382482</v>
      </c>
      <c r="D27" s="32" t="n">
        <f aca="false">IF(AND(ISNUMBER($C$7),N($C$7)&gt;0,N(D$10)&gt;0,N($B16)/12&gt;-1),IF((N($B16)/12)=0,$C$7/N(D$10),$C$7*(N($B16)/12)*(1+(N($B16)/12))^N(D$10)/((1+(N($B16)/12))^N(D$10)-1))*N(D$10)-$C$7,"—")</f>
        <v>110749.631718869</v>
      </c>
      <c r="E27" s="32" t="n">
        <f aca="false">IF(AND(ISNUMBER($C$7),N($C$7)&gt;0,N(E$10)&gt;0,N($B16)/12&gt;-1),IF((N($B16)/12)=0,$C$7/N(E$10),$C$7*(N($B16)/12)*(1+(N($B16)/12))^N(E$10)/((1+(N($B16)/12))^N(E$10)-1))*N(E$10)-$C$7,"—")</f>
        <v>168944.50047533</v>
      </c>
      <c r="F27" s="32" t="n">
        <f aca="false">IF(AND(ISNUMBER($C$7),N($C$7)&gt;0,N(F$10)&gt;0,N($B16)/12&gt;-1),IF((N($B16)/12)=0,$C$7/N(F$10),$C$7*(N($B16)/12)*(1+(N($B16)/12))^N(F$10)/((1+(N($B16)/12))^N(F$10)-1))*N(F$10)-$C$7,"—")</f>
        <v>294816.511449585</v>
      </c>
      <c r="G27" s="32" t="n">
        <f aca="false">IF(AND(ISNUMBER($C$7),N($C$7)&gt;0,N(G$10)&gt;0,N($B16)/12&gt;-1),IF((N($B16)/12)=0,$C$7/N(G$10),$C$7*(N($B16)/12)*(1+(N($B16)/12))^N(G$10)/((1+(N($B16)/12))^N(G$10)-1))*N(G$10)-$C$7,"—")</f>
        <v>432660.370214249</v>
      </c>
      <c r="H27" s="32" t="n">
        <f aca="false">IF(AND(ISNUMBER($C$7),N($C$7)&gt;0,N(H$10)&gt;0,N($B16)/12&gt;-1),IF((N($B16)/12)=0,$C$7/N(H$10),$C$7*(N($B16)/12)*(1+(N($B16)/12))^N(H$10)/((1+(N($B16)/12))^N(H$10)-1))*N(H$10)-$C$7,"—")</f>
        <v>659534.033195956</v>
      </c>
      <c r="I27" s="32" t="n">
        <f aca="false">IF(AND(ISNUMBER($C$7),N($C$7)&gt;0,N(I$10)&gt;0,N($B16)/12&gt;-1),IF((N($B16)/12)=0,$C$7/N(I$10),$C$7*(N($B16)/12)*(1+(N($B16)/12))^N(I$10)/((1+(N($B16)/12))^N(I$10)-1))*N(I$10)-$C$7,"—")</f>
        <v>1080666.85276359</v>
      </c>
      <c r="J27" s="32" t="n">
        <f aca="false">IF(AND(ISNUMBER($C$7),N($C$7)&gt;0,N(J$10)&gt;0,N($B16)/12&gt;-1),IF((N($B16)/12)=0,$C$7/N(J$10),$C$7*(N($B16)/12)*(1+(N($B16)/12))^N(J$10)/((1+(N($B16)/12))^N(J$10)-1))*N(J$10)-$C$7,"—")</f>
        <v>1538589.52907167</v>
      </c>
    </row>
    <row r="31" customFormat="false" ht="30" hidden="false" customHeight="true" outlineLevel="0" collapsed="false">
      <c r="B31" s="20" t="s">
        <v>92</v>
      </c>
      <c r="C31" s="20"/>
      <c r="D31" s="20"/>
      <c r="E31" s="20"/>
      <c r="F31" s="20"/>
      <c r="G31" s="20"/>
      <c r="H31" s="20"/>
      <c r="I31" s="20"/>
      <c r="J31" s="20"/>
    </row>
    <row r="32" customFormat="false" ht="15" hidden="false" customHeight="false" outlineLevel="0" collapsed="false">
      <c r="B32" s="20"/>
      <c r="C32" s="20"/>
      <c r="D32" s="20"/>
      <c r="E32" s="20"/>
      <c r="F32" s="20"/>
      <c r="G32" s="20"/>
      <c r="H32" s="20"/>
      <c r="I32" s="20"/>
      <c r="J32" s="20"/>
    </row>
  </sheetData>
  <mergeCells count="2">
    <mergeCell ref="D7:J7"/>
    <mergeCell ref="B31:J32"/>
  </mergeCells>
  <conditionalFormatting sqref="C11:J11">
    <cfRule type="expression" priority="2" aboveAverage="0" equalAverage="0" bottom="0" percent="0" rank="0" text="" dxfId="5">
      <formula>AND(ROUND($B11,8)=ROUND(N(Annual_Rate),8),C$10=Term_Months)</formula>
    </cfRule>
  </conditionalFormatting>
  <conditionalFormatting sqref="C12:J12">
    <cfRule type="expression" priority="3" aboveAverage="0" equalAverage="0" bottom="0" percent="0" rank="0" text="" dxfId="5">
      <formula>AND(ROUND($B12,8)=ROUND(N(Annual_Rate),8),C$10=Term_Months)</formula>
    </cfRule>
  </conditionalFormatting>
  <conditionalFormatting sqref="C13:J13">
    <cfRule type="expression" priority="4" aboveAverage="0" equalAverage="0" bottom="0" percent="0" rank="0" text="" dxfId="5">
      <formula>AND(ROUND($B13,8)=ROUND(N(Annual_Rate),8),C$10=Term_Months)</formula>
    </cfRule>
  </conditionalFormatting>
  <conditionalFormatting sqref="C14:J14">
    <cfRule type="expression" priority="5" aboveAverage="0" equalAverage="0" bottom="0" percent="0" rank="0" text="" dxfId="5">
      <formula>AND(ROUND($B14,8)=ROUND(N(Annual_Rate),8),C$10=Term_Months)</formula>
    </cfRule>
  </conditionalFormatting>
  <conditionalFormatting sqref="C15:J15">
    <cfRule type="expression" priority="6" aboveAverage="0" equalAverage="0" bottom="0" percent="0" rank="0" text="" dxfId="5">
      <formula>AND(ROUND($B15,8)=ROUND(N(Annual_Rate),8),C$10=Term_Months)</formula>
    </cfRule>
  </conditionalFormatting>
  <conditionalFormatting sqref="C16:J16">
    <cfRule type="expression" priority="7" aboveAverage="0" equalAverage="0" bottom="0" percent="0" rank="0" text="" dxfId="5">
      <formula>AND(ROUND($B16,8)=ROUND(N(Annual_Rate),8),C$10=Term_Months)</formula>
    </cfRule>
  </conditionalFormatting>
  <conditionalFormatting sqref="C22:J22">
    <cfRule type="expression" priority="8" aboveAverage="0" equalAverage="0" bottom="0" percent="0" rank="0" text="" dxfId="5">
      <formula>AND(ROUND($B22,8)=ROUND(N(Annual_Rate),8),C$21=Term_Months)</formula>
    </cfRule>
  </conditionalFormatting>
  <conditionalFormatting sqref="C23:J23">
    <cfRule type="expression" priority="9" aboveAverage="0" equalAverage="0" bottom="0" percent="0" rank="0" text="" dxfId="5">
      <formula>AND(ROUND($B23,8)=ROUND(N(Annual_Rate),8),C$21=Term_Months)</formula>
    </cfRule>
  </conditionalFormatting>
  <conditionalFormatting sqref="C24:J24">
    <cfRule type="expression" priority="10" aboveAverage="0" equalAverage="0" bottom="0" percent="0" rank="0" text="" dxfId="5">
      <formula>AND(ROUND($B24,8)=ROUND(N(Annual_Rate),8),C$21=Term_Months)</formula>
    </cfRule>
  </conditionalFormatting>
  <conditionalFormatting sqref="C25:J25">
    <cfRule type="expression" priority="11" aboveAverage="0" equalAverage="0" bottom="0" percent="0" rank="0" text="" dxfId="5">
      <formula>AND(ROUND($B25,8)=ROUND(N(Annual_Rate),8),C$21=Term_Months)</formula>
    </cfRule>
  </conditionalFormatting>
  <conditionalFormatting sqref="C26:J26">
    <cfRule type="expression" priority="12" aboveAverage="0" equalAverage="0" bottom="0" percent="0" rank="0" text="" dxfId="5">
      <formula>AND(ROUND($B26,8)=ROUND(N(Annual_Rate),8),C$21=Term_Months)</formula>
    </cfRule>
  </conditionalFormatting>
  <conditionalFormatting sqref="C27:J27">
    <cfRule type="expression" priority="13" aboveAverage="0" equalAverage="0" bottom="0" percent="0" rank="0" text="" dxfId="5">
      <formula>AND(ROUND($B27,8)=ROUND(N(Annual_Rate),8),C$21=Term_Months)</formula>
    </cfRule>
  </conditionalFormatting>
  <dataValidations count="2">
    <dataValidation allowBlank="true" error="Enter a term in months above zero." errorStyle="stop" errorTitle="Term" operator="greaterThan" showDropDown="false" showErrorMessage="true" showInputMessage="false" sqref="C10:J10" type="decimal">
      <formula1>0</formula1>
      <formula2>0</formula2>
    </dataValidation>
    <dataValidation allowBlank="true" error="Enter an annual rate, for example 10%." errorStyle="stop" errorTitle="Rate" operator="greaterThan" showDropDown="false" showErrorMessage="true" showInputMessage="false" sqref="B11:B16" type="decimal">
      <formula1>-12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6" min="3" style="0" width="18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50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93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29"/>
      <c r="C7" s="30" t="s">
        <v>94</v>
      </c>
      <c r="D7" s="30" t="s">
        <v>95</v>
      </c>
      <c r="E7" s="30" t="s">
        <v>96</v>
      </c>
      <c r="F7" s="30" t="s">
        <v>97</v>
      </c>
    </row>
    <row r="8" customFormat="false" ht="15" hidden="false" customHeight="false" outlineLevel="0" collapsed="false">
      <c r="B8" s="31" t="s">
        <v>98</v>
      </c>
      <c r="C8" s="44" t="s">
        <v>99</v>
      </c>
      <c r="D8" s="44" t="s">
        <v>100</v>
      </c>
      <c r="E8" s="44" t="s">
        <v>101</v>
      </c>
      <c r="F8" s="44" t="s">
        <v>102</v>
      </c>
    </row>
    <row r="9" customFormat="false" ht="15" hidden="false" customHeight="false" outlineLevel="0" collapsed="false">
      <c r="B9" s="31" t="s">
        <v>14</v>
      </c>
      <c r="C9" s="19" t="n">
        <v>500000</v>
      </c>
      <c r="D9" s="19" t="n">
        <v>500000</v>
      </c>
      <c r="E9" s="19" t="n">
        <v>500000</v>
      </c>
      <c r="F9" s="19" t="n">
        <v>500000</v>
      </c>
    </row>
    <row r="10" customFormat="false" ht="15" hidden="false" customHeight="false" outlineLevel="0" collapsed="false">
      <c r="B10" s="31" t="s">
        <v>16</v>
      </c>
      <c r="C10" s="22" t="n">
        <v>0.1</v>
      </c>
      <c r="D10" s="22" t="n">
        <v>0.2</v>
      </c>
      <c r="E10" s="22" t="n">
        <v>0.1</v>
      </c>
      <c r="F10" s="22" t="n">
        <v>0.09</v>
      </c>
    </row>
    <row r="11" customFormat="false" ht="15" hidden="false" customHeight="false" outlineLevel="0" collapsed="false">
      <c r="B11" s="31" t="s">
        <v>18</v>
      </c>
      <c r="C11" s="25" t="n">
        <v>60</v>
      </c>
      <c r="D11" s="25" t="n">
        <v>60</v>
      </c>
      <c r="E11" s="25" t="n">
        <v>120</v>
      </c>
      <c r="F11" s="25" t="n">
        <v>60</v>
      </c>
    </row>
    <row r="12" customFormat="false" ht="15" hidden="false" customHeight="false" outlineLevel="0" collapsed="false">
      <c r="B12" s="31" t="s">
        <v>103</v>
      </c>
      <c r="C12" s="19" t="n">
        <v>0</v>
      </c>
      <c r="D12" s="19" t="n">
        <v>0</v>
      </c>
      <c r="E12" s="19" t="n">
        <v>0</v>
      </c>
      <c r="F12" s="19" t="n">
        <v>15000</v>
      </c>
    </row>
    <row r="14" customFormat="false" ht="19.5" hidden="false" customHeight="true" outlineLevel="0" collapsed="false">
      <c r="B14" s="5" t="s">
        <v>104</v>
      </c>
      <c r="C14" s="6"/>
      <c r="D14" s="6"/>
      <c r="E14" s="6"/>
      <c r="F14" s="6"/>
    </row>
    <row r="15" customFormat="false" ht="15" hidden="false" customHeight="false" outlineLevel="0" collapsed="false">
      <c r="B15" s="31" t="s">
        <v>30</v>
      </c>
      <c r="C15" s="45" t="n">
        <f aca="false">IF(AND(ISNUMBER(C9),N(C9)&gt;0,ISNUMBER(C11),N(C11)&gt;0,N(C10)/12&gt;-1),IF((N(C10)/12)=0,C9/C11,C9*(N(C10)/12)*(1+(N(C10)/12))^C11/((1+(N(C10)/12))^C11-1)),"—")</f>
        <v>10623.5223556342</v>
      </c>
      <c r="D15" s="45" t="n">
        <f aca="false">IF(AND(ISNUMBER(D9),N(D9)&gt;0,ISNUMBER(D11),N(D11)&gt;0,N(D10)/12&gt;-1),IF((N(D10)/12)=0,D9/D11,D9*(N(D10)/12)*(1+(N(D10)/12))^D11/((1+(N(D10)/12))^D11-1)),"—")</f>
        <v>13246.9418574931</v>
      </c>
      <c r="E15" s="45" t="n">
        <f aca="false">IF(AND(ISNUMBER(E9),N(E9)&gt;0,ISNUMBER(E11),N(E11)&gt;0,N(E10)/12&gt;-1),IF((N(E10)/12)=0,E9/E11,E9*(N(E10)/12)*(1+(N(E10)/12))^E11/((1+(N(E10)/12))^E11-1)),"—")</f>
        <v>6607.5368440881</v>
      </c>
      <c r="F15" s="45" t="n">
        <f aca="false">IF(AND(ISNUMBER(F9),N(F9)&gt;0,ISNUMBER(F11),N(F11)&gt;0,N(F10)/12&gt;-1),IF((N(F10)/12)=0,F9/F11,F9*(N(F10)/12)*(1+(N(F10)/12))^F11/((1+(N(F10)/12))^F11-1)),"—")</f>
        <v>10379.1776131769</v>
      </c>
    </row>
    <row r="16" customFormat="false" ht="15" hidden="false" customHeight="false" outlineLevel="0" collapsed="false">
      <c r="B16" s="31" t="s">
        <v>65</v>
      </c>
      <c r="C16" s="32" t="n">
        <f aca="false">IF(AND(ISNUMBER(C9),N(C9)&gt;0,ISNUMBER(C11),N(C11)&gt;0,N(C10)/12&gt;-1),C15*C11,"—")</f>
        <v>637411.34133805</v>
      </c>
      <c r="D16" s="32" t="n">
        <f aca="false">IF(AND(ISNUMBER(D9),N(D9)&gt;0,ISNUMBER(D11),N(D11)&gt;0,N(D10)/12&gt;-1),D15*D11,"—")</f>
        <v>794816.511449585</v>
      </c>
      <c r="E16" s="32" t="n">
        <f aca="false">IF(AND(ISNUMBER(E9),N(E9)&gt;0,ISNUMBER(E11),N(E11)&gt;0,N(E10)/12&gt;-1),E15*E11,"—")</f>
        <v>792904.421290572</v>
      </c>
      <c r="F16" s="32" t="n">
        <f aca="false">IF(AND(ISNUMBER(F9),N(F9)&gt;0,ISNUMBER(F11),N(F11)&gt;0,N(F10)/12&gt;-1),F15*F11,"—")</f>
        <v>622750.656790616</v>
      </c>
    </row>
    <row r="17" customFormat="false" ht="15" hidden="false" customHeight="false" outlineLevel="0" collapsed="false">
      <c r="B17" s="31" t="s">
        <v>32</v>
      </c>
      <c r="C17" s="32" t="n">
        <f aca="false">IF(AND(ISNUMBER(C9),N(C9)&gt;0,ISNUMBER(C11),N(C11)&gt;0,N(C10)/12&gt;-1),C16-C9,"—")</f>
        <v>137411.34133805</v>
      </c>
      <c r="D17" s="32" t="n">
        <f aca="false">IF(AND(ISNUMBER(D9),N(D9)&gt;0,ISNUMBER(D11),N(D11)&gt;0,N(D10)/12&gt;-1),D16-D9,"—")</f>
        <v>294816.511449585</v>
      </c>
      <c r="E17" s="32" t="n">
        <f aca="false">IF(AND(ISNUMBER(E9),N(E9)&gt;0,ISNUMBER(E11),N(E11)&gt;0,N(E10)/12&gt;-1),E16-E9,"—")</f>
        <v>292904.421290572</v>
      </c>
      <c r="F17" s="32" t="n">
        <f aca="false">IF(AND(ISNUMBER(F9),N(F9)&gt;0,ISNUMBER(F11),N(F11)&gt;0,N(F10)/12&gt;-1),F16-F9,"—")</f>
        <v>122750.656790616</v>
      </c>
    </row>
    <row r="18" customFormat="false" ht="15" hidden="false" customHeight="false" outlineLevel="0" collapsed="false">
      <c r="B18" s="31" t="s">
        <v>105</v>
      </c>
      <c r="C18" s="46" t="n">
        <f aca="false">IF(AND(ISNUMBER(C9),N(C9)&gt;0,ISNUMBER(C11),N(C11)&gt;0,N(C10)/12&gt;-1),C17+N(C12),"—")</f>
        <v>137411.34133805</v>
      </c>
      <c r="D18" s="46" t="n">
        <f aca="false">IF(AND(ISNUMBER(D9),N(D9)&gt;0,ISNUMBER(D11),N(D11)&gt;0,N(D10)/12&gt;-1),D17+N(D12),"—")</f>
        <v>294816.511449585</v>
      </c>
      <c r="E18" s="46" t="n">
        <f aca="false">IF(AND(ISNUMBER(E9),N(E9)&gt;0,ISNUMBER(E11),N(E11)&gt;0,N(E10)/12&gt;-1),E17+N(E12),"—")</f>
        <v>292904.421290572</v>
      </c>
      <c r="F18" s="46" t="n">
        <f aca="false">IF(AND(ISNUMBER(F9),N(F9)&gt;0,ISNUMBER(F11),N(F11)&gt;0,N(F10)/12&gt;-1),F17+N(F12),"—")</f>
        <v>137750.656790616</v>
      </c>
    </row>
    <row r="19" customFormat="false" ht="15" hidden="false" customHeight="false" outlineLevel="0" collapsed="false">
      <c r="B19" s="31" t="s">
        <v>106</v>
      </c>
      <c r="C19" s="33" t="n">
        <f aca="false">IF(AND(ISNUMBER(C9),N(C9)&gt;0,ISNUMBER(C11),N(C11)&gt;0,N(C10)/12&gt;-1),C18/C9,"—")</f>
        <v>0.2748226826761</v>
      </c>
      <c r="D19" s="33" t="n">
        <f aca="false">IF(AND(ISNUMBER(D9),N(D9)&gt;0,ISNUMBER(D11),N(D11)&gt;0,N(D10)/12&gt;-1),D18/D9,"—")</f>
        <v>0.589633022899169</v>
      </c>
      <c r="E19" s="33" t="n">
        <f aca="false">IF(AND(ISNUMBER(E9),N(E9)&gt;0,ISNUMBER(E11),N(E11)&gt;0,N(E10)/12&gt;-1),E18/E9,"—")</f>
        <v>0.585808842581143</v>
      </c>
      <c r="F19" s="33" t="n">
        <f aca="false">IF(AND(ISNUMBER(F9),N(F9)&gt;0,ISNUMBER(F11),N(F11)&gt;0,N(F10)/12&gt;-1),F18/F9,"—")</f>
        <v>0.275501313581232</v>
      </c>
    </row>
    <row r="20" customFormat="false" ht="15" hidden="false" customHeight="false" outlineLevel="0" collapsed="false">
      <c r="B20" s="31" t="s">
        <v>107</v>
      </c>
      <c r="C20" s="47" t="n">
        <f aca="false">IF(ISNUMBER(C18),RANK(C18,$C$18:$F$18,1),"—")</f>
        <v>1</v>
      </c>
      <c r="D20" s="47" t="n">
        <f aca="false">IF(ISNUMBER(D18),RANK(D18,$C$18:$F$18,1),"—")</f>
        <v>4</v>
      </c>
      <c r="E20" s="47" t="n">
        <f aca="false">IF(ISNUMBER(E18),RANK(E18,$C$18:$F$18,1),"—")</f>
        <v>3</v>
      </c>
      <c r="F20" s="47" t="n">
        <f aca="false">IF(ISNUMBER(F18),RANK(F18,$C$18:$F$18,1),"—")</f>
        <v>2</v>
      </c>
    </row>
    <row r="22" customFormat="false" ht="30" hidden="false" customHeight="true" outlineLevel="0" collapsed="false">
      <c r="B22" s="20" t="s">
        <v>108</v>
      </c>
      <c r="C22" s="20"/>
      <c r="D22" s="20"/>
      <c r="E22" s="20"/>
      <c r="F22" s="20"/>
    </row>
    <row r="23" customFormat="false" ht="15" hidden="false" customHeight="false" outlineLevel="0" collapsed="false">
      <c r="B23" s="20"/>
      <c r="C23" s="20"/>
      <c r="D23" s="20"/>
      <c r="E23" s="20"/>
      <c r="F23" s="20"/>
    </row>
  </sheetData>
  <mergeCells count="1">
    <mergeCell ref="B22:F23"/>
  </mergeCells>
  <conditionalFormatting sqref="C20:F20">
    <cfRule type="expression" priority="2" aboveAverage="0" equalAverage="0" bottom="0" percent="0" rank="0" text="" dxfId="6">
      <formula>C20=1</formula>
    </cfRule>
  </conditionalFormatting>
  <dataValidations count="2">
    <dataValidation allowBlank="true" error="Enter a number above zero." errorStyle="stop" errorTitle="Loan amount" operator="between" showDropDown="false" showErrorMessage="true" showInputMessage="false" sqref="C9:F9" type="decimal">
      <formula1>-1000000000000000</formula1>
      <formula2>0</formula2>
    </dataValidation>
    <dataValidation allowBlank="true" error="Enter the term in months." errorStyle="stop" errorTitle="Term" operator="between" showDropDown="false" showErrorMessage="true" showInputMessage="false" sqref="C11:F11" type="decimal">
      <formula1>-1000000000000000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G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16"/>
    <col collapsed="false" customWidth="true" hidden="false" outlineLevel="0" max="6" min="6" style="0" width="40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52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109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110</v>
      </c>
      <c r="C7" s="6"/>
      <c r="D7" s="6"/>
      <c r="E7" s="6"/>
      <c r="F7" s="6"/>
    </row>
    <row r="8" customFormat="false" ht="19.5" hidden="false" customHeight="true" outlineLevel="0" collapsed="false">
      <c r="B8" s="7" t="s">
        <v>111</v>
      </c>
      <c r="C8" s="7"/>
      <c r="D8" s="7"/>
      <c r="E8" s="7"/>
      <c r="F8" s="7"/>
    </row>
    <row r="9" customFormat="false" ht="15" hidden="false" customHeight="false" outlineLevel="0" collapsed="false">
      <c r="B9" s="18" t="s">
        <v>14</v>
      </c>
      <c r="C9" s="19" t="n">
        <v>500000</v>
      </c>
    </row>
    <row r="10" customFormat="false" ht="15" hidden="false" customHeight="false" outlineLevel="0" collapsed="false">
      <c r="B10" s="18" t="s">
        <v>16</v>
      </c>
      <c r="C10" s="22" t="n">
        <v>0.1</v>
      </c>
    </row>
    <row r="11" customFormat="false" ht="15" hidden="false" customHeight="false" outlineLevel="0" collapsed="false">
      <c r="B11" s="18" t="s">
        <v>18</v>
      </c>
      <c r="C11" s="48" t="n">
        <v>60</v>
      </c>
    </row>
    <row r="12" customFormat="false" ht="15" hidden="false" customHeight="true" outlineLevel="0" collapsed="false">
      <c r="B12" s="31" t="s">
        <v>112</v>
      </c>
      <c r="C12" s="49" t="n">
        <f aca="false">C10/12</f>
        <v>0.00833333333333333</v>
      </c>
      <c r="D12" s="20" t="s">
        <v>113</v>
      </c>
      <c r="E12" s="20"/>
      <c r="F12" s="20"/>
    </row>
    <row r="13" customFormat="false" ht="15" hidden="false" customHeight="false" outlineLevel="0" collapsed="false">
      <c r="B13" s="31" t="s">
        <v>114</v>
      </c>
      <c r="C13" s="45" t="n">
        <f aca="false">IF(C12=0,C9/C11,C9*C12*(1+C12)^C11/((1+C12)^C11-1))</f>
        <v>10623.5223556342</v>
      </c>
    </row>
    <row r="14" customFormat="false" ht="15" hidden="false" customHeight="false" outlineLevel="0" collapsed="false">
      <c r="B14" s="31" t="s">
        <v>65</v>
      </c>
      <c r="C14" s="45" t="n">
        <f aca="false">C13*C11</f>
        <v>637411.34133805</v>
      </c>
    </row>
    <row r="15" customFormat="false" ht="15" hidden="false" customHeight="false" outlineLevel="0" collapsed="false">
      <c r="B15" s="31" t="s">
        <v>32</v>
      </c>
      <c r="C15" s="45" t="n">
        <f aca="false">C14-C9</f>
        <v>137411.34133805</v>
      </c>
    </row>
    <row r="16" customFormat="false" ht="15" hidden="false" customHeight="true" outlineLevel="0" collapsed="false">
      <c r="B16" s="31" t="s">
        <v>71</v>
      </c>
      <c r="C16" s="50" t="n">
        <f aca="false">C15/C9</f>
        <v>0.2748226826761</v>
      </c>
      <c r="D16" s="20" t="s">
        <v>115</v>
      </c>
      <c r="E16" s="20"/>
      <c r="F16" s="20"/>
    </row>
    <row r="17" customFormat="false" ht="15" hidden="false" customHeight="true" outlineLevel="0" collapsed="false">
      <c r="B17" s="31" t="s">
        <v>116</v>
      </c>
      <c r="C17" s="45" t="n">
        <f aca="false">C9*C12</f>
        <v>4166.66666666667</v>
      </c>
      <c r="D17" s="20" t="s">
        <v>117</v>
      </c>
      <c r="E17" s="20"/>
      <c r="F17" s="20"/>
    </row>
    <row r="18" customFormat="false" ht="15" hidden="false" customHeight="true" outlineLevel="0" collapsed="false">
      <c r="B18" s="31" t="s">
        <v>118</v>
      </c>
      <c r="C18" s="45" t="n">
        <f aca="false">C13-C17</f>
        <v>6456.8556889675</v>
      </c>
      <c r="D18" s="20" t="s">
        <v>119</v>
      </c>
      <c r="E18" s="20"/>
      <c r="F18" s="20"/>
    </row>
    <row r="19" customFormat="false" ht="15" hidden="false" customHeight="true" outlineLevel="0" collapsed="false">
      <c r="B19" s="31" t="s">
        <v>120</v>
      </c>
      <c r="C19" s="45" t="n">
        <f aca="false">PMT(C10/12,C11,-C9)</f>
        <v>10623.5223556341</v>
      </c>
      <c r="D19" s="20" t="s">
        <v>121</v>
      </c>
      <c r="E19" s="20"/>
      <c r="F19" s="20"/>
    </row>
    <row r="20" customFormat="false" ht="15" hidden="false" customHeight="true" outlineLevel="0" collapsed="false">
      <c r="B20" s="31" t="s">
        <v>122</v>
      </c>
      <c r="C20" s="45" t="n">
        <f aca="false">IPMT(C10/12,1,C11,-C9)</f>
        <v>4166.66666666667</v>
      </c>
      <c r="D20" s="20" t="s">
        <v>123</v>
      </c>
      <c r="E20" s="20"/>
      <c r="F20" s="20"/>
    </row>
    <row r="22" customFormat="false" ht="19.5" hidden="false" customHeight="true" outlineLevel="0" collapsed="false">
      <c r="B22" s="5" t="s">
        <v>124</v>
      </c>
      <c r="C22" s="6"/>
      <c r="D22" s="6"/>
      <c r="E22" s="6"/>
      <c r="F22" s="6"/>
    </row>
    <row r="23" customFormat="false" ht="19.5" hidden="false" customHeight="true" outlineLevel="0" collapsed="false">
      <c r="B23" s="7" t="s">
        <v>125</v>
      </c>
      <c r="C23" s="7"/>
      <c r="D23" s="7"/>
      <c r="E23" s="7"/>
      <c r="F23" s="7"/>
    </row>
    <row r="24" customFormat="false" ht="15" hidden="false" customHeight="false" outlineLevel="0" collapsed="false">
      <c r="B24" s="18" t="s">
        <v>14</v>
      </c>
      <c r="C24" s="19" t="n">
        <v>500000</v>
      </c>
    </row>
    <row r="25" customFormat="false" ht="15" hidden="false" customHeight="false" outlineLevel="0" collapsed="false">
      <c r="B25" s="18" t="s">
        <v>16</v>
      </c>
      <c r="C25" s="22" t="n">
        <v>0.2</v>
      </c>
    </row>
    <row r="26" customFormat="false" ht="15" hidden="false" customHeight="false" outlineLevel="0" collapsed="false">
      <c r="B26" s="18" t="s">
        <v>18</v>
      </c>
      <c r="C26" s="48" t="n">
        <v>60</v>
      </c>
    </row>
    <row r="27" customFormat="false" ht="15" hidden="false" customHeight="true" outlineLevel="0" collapsed="false">
      <c r="B27" s="31" t="s">
        <v>112</v>
      </c>
      <c r="C27" s="49" t="n">
        <f aca="false">C25/12</f>
        <v>0.0166666666666667</v>
      </c>
      <c r="D27" s="20" t="s">
        <v>113</v>
      </c>
      <c r="E27" s="20"/>
      <c r="F27" s="20"/>
    </row>
    <row r="28" customFormat="false" ht="15" hidden="false" customHeight="false" outlineLevel="0" collapsed="false">
      <c r="B28" s="31" t="s">
        <v>114</v>
      </c>
      <c r="C28" s="45" t="n">
        <f aca="false">IF(C27=0,C24/C26,C24*C27*(1+C27)^C26/((1+C27)^C26-1))</f>
        <v>13246.9418574931</v>
      </c>
    </row>
    <row r="29" customFormat="false" ht="15" hidden="false" customHeight="false" outlineLevel="0" collapsed="false">
      <c r="B29" s="31" t="s">
        <v>65</v>
      </c>
      <c r="C29" s="45" t="n">
        <f aca="false">C28*C26</f>
        <v>794816.511449585</v>
      </c>
    </row>
    <row r="30" customFormat="false" ht="15" hidden="false" customHeight="false" outlineLevel="0" collapsed="false">
      <c r="B30" s="31" t="s">
        <v>32</v>
      </c>
      <c r="C30" s="45" t="n">
        <f aca="false">C29-C24</f>
        <v>294816.511449585</v>
      </c>
    </row>
    <row r="31" customFormat="false" ht="15" hidden="false" customHeight="true" outlineLevel="0" collapsed="false">
      <c r="B31" s="31" t="s">
        <v>126</v>
      </c>
      <c r="C31" s="50" t="n">
        <f aca="false">C28/C13-1</f>
        <v>0.246944413918194</v>
      </c>
      <c r="D31" s="20" t="s">
        <v>127</v>
      </c>
      <c r="E31" s="20"/>
      <c r="F31" s="20"/>
    </row>
    <row r="32" customFormat="false" ht="15" hidden="false" customHeight="true" outlineLevel="0" collapsed="false">
      <c r="B32" s="31" t="s">
        <v>128</v>
      </c>
      <c r="C32" s="51" t="n">
        <f aca="false">C30/C15</f>
        <v>2.14550348303709</v>
      </c>
      <c r="D32" s="20" t="s">
        <v>129</v>
      </c>
      <c r="E32" s="20"/>
      <c r="F32" s="20"/>
    </row>
    <row r="34" customFormat="false" ht="19.5" hidden="false" customHeight="true" outlineLevel="0" collapsed="false">
      <c r="B34" s="5" t="s">
        <v>130</v>
      </c>
      <c r="C34" s="6"/>
      <c r="D34" s="6"/>
      <c r="E34" s="6"/>
      <c r="F34" s="6"/>
    </row>
    <row r="35" customFormat="false" ht="19.5" hidden="false" customHeight="true" outlineLevel="0" collapsed="false">
      <c r="B35" s="7" t="s">
        <v>131</v>
      </c>
      <c r="C35" s="7"/>
      <c r="D35" s="7"/>
      <c r="E35" s="7"/>
      <c r="F35" s="7"/>
    </row>
    <row r="36" customFormat="false" ht="15" hidden="false" customHeight="false" outlineLevel="0" collapsed="false">
      <c r="B36" s="18" t="s">
        <v>14</v>
      </c>
      <c r="C36" s="19" t="n">
        <v>500000</v>
      </c>
    </row>
    <row r="37" customFormat="false" ht="15" hidden="false" customHeight="false" outlineLevel="0" collapsed="false">
      <c r="B37" s="18" t="s">
        <v>16</v>
      </c>
      <c r="C37" s="22" t="n">
        <v>0.1</v>
      </c>
    </row>
    <row r="38" customFormat="false" ht="15" hidden="false" customHeight="false" outlineLevel="0" collapsed="false">
      <c r="B38" s="18" t="s">
        <v>18</v>
      </c>
      <c r="C38" s="48" t="n">
        <v>120</v>
      </c>
    </row>
    <row r="39" customFormat="false" ht="15" hidden="false" customHeight="true" outlineLevel="0" collapsed="false">
      <c r="B39" s="31" t="s">
        <v>112</v>
      </c>
      <c r="C39" s="49" t="n">
        <f aca="false">C37/12</f>
        <v>0.00833333333333333</v>
      </c>
      <c r="D39" s="20" t="s">
        <v>113</v>
      </c>
      <c r="E39" s="20"/>
      <c r="F39" s="20"/>
    </row>
    <row r="40" customFormat="false" ht="15" hidden="false" customHeight="false" outlineLevel="0" collapsed="false">
      <c r="B40" s="31" t="s">
        <v>114</v>
      </c>
      <c r="C40" s="45" t="n">
        <f aca="false">IF(C39=0,C36/C38,C36*C39*(1+C39)^C38/((1+C39)^C38-1))</f>
        <v>6607.5368440881</v>
      </c>
    </row>
    <row r="41" customFormat="false" ht="15" hidden="false" customHeight="false" outlineLevel="0" collapsed="false">
      <c r="B41" s="31" t="s">
        <v>65</v>
      </c>
      <c r="C41" s="45" t="n">
        <f aca="false">C40*C38</f>
        <v>792904.421290572</v>
      </c>
    </row>
    <row r="42" customFormat="false" ht="15" hidden="false" customHeight="false" outlineLevel="0" collapsed="false">
      <c r="B42" s="31" t="s">
        <v>32</v>
      </c>
      <c r="C42" s="45" t="n">
        <f aca="false">C41-C36</f>
        <v>292904.421290572</v>
      </c>
    </row>
    <row r="43" customFormat="false" ht="15" hidden="false" customHeight="true" outlineLevel="0" collapsed="false">
      <c r="B43" s="31" t="s">
        <v>132</v>
      </c>
      <c r="C43" s="50" t="n">
        <f aca="false">C40/C13-1</f>
        <v>-0.378027680189914</v>
      </c>
      <c r="D43" s="20" t="s">
        <v>133</v>
      </c>
      <c r="E43" s="20"/>
      <c r="F43" s="20"/>
    </row>
    <row r="44" customFormat="false" ht="15" hidden="false" customHeight="true" outlineLevel="0" collapsed="false">
      <c r="B44" s="31" t="s">
        <v>134</v>
      </c>
      <c r="C44" s="45" t="n">
        <f aca="false">C42-C15</f>
        <v>155493.079952522</v>
      </c>
      <c r="D44" s="20" t="s">
        <v>135</v>
      </c>
      <c r="E44" s="20"/>
      <c r="F44" s="20"/>
    </row>
    <row r="46" customFormat="false" ht="15" hidden="false" customHeight="true" outlineLevel="0" collapsed="false">
      <c r="B46" s="15" t="s">
        <v>136</v>
      </c>
      <c r="C46" s="15"/>
      <c r="D46" s="15"/>
      <c r="E46" s="15"/>
      <c r="F46" s="15"/>
    </row>
  </sheetData>
  <mergeCells count="16">
    <mergeCell ref="B8:F8"/>
    <mergeCell ref="D12:F12"/>
    <mergeCell ref="D16:F16"/>
    <mergeCell ref="D17:F17"/>
    <mergeCell ref="D18:F18"/>
    <mergeCell ref="D19:F19"/>
    <mergeCell ref="D20:F20"/>
    <mergeCell ref="B23:F23"/>
    <mergeCell ref="D27:F27"/>
    <mergeCell ref="D31:F31"/>
    <mergeCell ref="D32:F32"/>
    <mergeCell ref="B35:F35"/>
    <mergeCell ref="D39:F39"/>
    <mergeCell ref="D43:F43"/>
    <mergeCell ref="D44:F44"/>
    <mergeCell ref="B46:F46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E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52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54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137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138</v>
      </c>
      <c r="C7" s="6"/>
      <c r="D7" s="6"/>
    </row>
    <row r="8" customFormat="false" ht="19.5" hidden="false" customHeight="true" outlineLevel="0" collapsed="false">
      <c r="B8" s="29" t="s">
        <v>139</v>
      </c>
      <c r="C8" s="30" t="s">
        <v>140</v>
      </c>
      <c r="D8" s="30" t="s">
        <v>141</v>
      </c>
    </row>
    <row r="9" customFormat="false" ht="30" hidden="false" customHeight="true" outlineLevel="0" collapsed="false">
      <c r="B9" s="52" t="s">
        <v>142</v>
      </c>
      <c r="C9" s="53" t="s">
        <v>143</v>
      </c>
      <c r="D9" s="54" t="s">
        <v>144</v>
      </c>
    </row>
    <row r="10" customFormat="false" ht="39" hidden="false" customHeight="true" outlineLevel="0" collapsed="false">
      <c r="B10" s="52" t="s">
        <v>114</v>
      </c>
      <c r="C10" s="53" t="s">
        <v>145</v>
      </c>
      <c r="D10" s="54" t="s">
        <v>146</v>
      </c>
    </row>
    <row r="11" customFormat="false" ht="30" hidden="false" customHeight="true" outlineLevel="0" collapsed="false">
      <c r="B11" s="52" t="s">
        <v>65</v>
      </c>
      <c r="C11" s="53" t="s">
        <v>147</v>
      </c>
      <c r="D11" s="54" t="s">
        <v>148</v>
      </c>
    </row>
    <row r="12" customFormat="false" ht="30" hidden="false" customHeight="true" outlineLevel="0" collapsed="false">
      <c r="B12" s="52" t="s">
        <v>32</v>
      </c>
      <c r="C12" s="53" t="s">
        <v>149</v>
      </c>
      <c r="D12" s="54" t="s">
        <v>150</v>
      </c>
    </row>
    <row r="13" customFormat="false" ht="30" hidden="false" customHeight="true" outlineLevel="0" collapsed="false">
      <c r="B13" s="52" t="s">
        <v>34</v>
      </c>
      <c r="C13" s="53" t="s">
        <v>151</v>
      </c>
      <c r="D13" s="54" t="s">
        <v>152</v>
      </c>
    </row>
    <row r="14" customFormat="false" ht="30" hidden="false" customHeight="true" outlineLevel="0" collapsed="false">
      <c r="B14" s="52" t="s">
        <v>153</v>
      </c>
      <c r="C14" s="53" t="s">
        <v>154</v>
      </c>
      <c r="D14" s="54" t="s">
        <v>155</v>
      </c>
    </row>
    <row r="16" customFormat="false" ht="19.5" hidden="false" customHeight="true" outlineLevel="0" collapsed="false">
      <c r="B16" s="5" t="s">
        <v>156</v>
      </c>
      <c r="C16" s="6"/>
      <c r="D16" s="6"/>
    </row>
    <row r="17" customFormat="false" ht="30" hidden="false" customHeight="true" outlineLevel="0" collapsed="false">
      <c r="B17" s="7" t="s">
        <v>157</v>
      </c>
      <c r="C17" s="7"/>
      <c r="D17" s="7"/>
    </row>
    <row r="18" customFormat="false" ht="18" hidden="false" customHeight="true" outlineLevel="0" collapsed="false">
      <c r="B18" s="7" t="s">
        <v>158</v>
      </c>
      <c r="C18" s="7"/>
      <c r="D18" s="7"/>
    </row>
    <row r="19" customFormat="false" ht="18" hidden="false" customHeight="true" outlineLevel="0" collapsed="false">
      <c r="B19" s="7" t="s">
        <v>159</v>
      </c>
      <c r="C19" s="7"/>
      <c r="D19" s="7"/>
    </row>
    <row r="20" customFormat="false" ht="18" hidden="false" customHeight="true" outlineLevel="0" collapsed="false">
      <c r="B20" s="7" t="s">
        <v>160</v>
      </c>
      <c r="C20" s="7"/>
      <c r="D20" s="7"/>
    </row>
    <row r="21" customFormat="false" ht="18" hidden="false" customHeight="true" outlineLevel="0" collapsed="false">
      <c r="B21" s="7" t="s">
        <v>161</v>
      </c>
      <c r="C21" s="7"/>
      <c r="D21" s="7"/>
    </row>
    <row r="23" customFormat="false" ht="19.5" hidden="false" customHeight="true" outlineLevel="0" collapsed="false">
      <c r="B23" s="5" t="s">
        <v>162</v>
      </c>
      <c r="C23" s="6"/>
      <c r="D23" s="6"/>
    </row>
    <row r="24" customFormat="false" ht="18" hidden="false" customHeight="true" outlineLevel="0" collapsed="false">
      <c r="B24" s="8" t="s">
        <v>163</v>
      </c>
      <c r="C24" s="7" t="s">
        <v>164</v>
      </c>
      <c r="D24" s="7"/>
    </row>
    <row r="25" customFormat="false" ht="18" hidden="false" customHeight="true" outlineLevel="0" collapsed="false">
      <c r="B25" s="8" t="s">
        <v>30</v>
      </c>
      <c r="C25" s="55" t="s">
        <v>165</v>
      </c>
      <c r="D25" s="55"/>
    </row>
    <row r="26" customFormat="false" ht="18" hidden="false" customHeight="true" outlineLevel="0" collapsed="false">
      <c r="B26" s="8" t="s">
        <v>78</v>
      </c>
      <c r="C26" s="55" t="s">
        <v>166</v>
      </c>
      <c r="D26" s="55"/>
    </row>
    <row r="27" customFormat="false" ht="18" hidden="false" customHeight="true" outlineLevel="0" collapsed="false">
      <c r="B27" s="8" t="s">
        <v>167</v>
      </c>
      <c r="C27" s="55" t="s">
        <v>168</v>
      </c>
      <c r="D27" s="55"/>
    </row>
    <row r="28" customFormat="false" ht="18" hidden="false" customHeight="true" outlineLevel="0" collapsed="false">
      <c r="B28" s="8" t="s">
        <v>169</v>
      </c>
      <c r="C28" s="7" t="s">
        <v>170</v>
      </c>
      <c r="D28" s="7"/>
    </row>
    <row r="30" customFormat="false" ht="19.5" hidden="false" customHeight="true" outlineLevel="0" collapsed="false">
      <c r="B30" s="5" t="s">
        <v>171</v>
      </c>
      <c r="C30" s="6"/>
      <c r="D30" s="6"/>
    </row>
    <row r="31" customFormat="false" ht="15" hidden="false" customHeight="false" outlineLevel="0" collapsed="false">
      <c r="B31" s="56" t="s">
        <v>172</v>
      </c>
      <c r="C31" s="18" t="s">
        <v>173</v>
      </c>
    </row>
    <row r="32" customFormat="false" ht="15" hidden="false" customHeight="false" outlineLevel="0" collapsed="false">
      <c r="B32" s="56" t="s">
        <v>174</v>
      </c>
      <c r="C32" s="18" t="s">
        <v>175</v>
      </c>
    </row>
    <row r="33" customFormat="false" ht="15" hidden="false" customHeight="false" outlineLevel="0" collapsed="false">
      <c r="B33" s="56" t="s">
        <v>176</v>
      </c>
      <c r="C33" s="18" t="s">
        <v>177</v>
      </c>
    </row>
    <row r="34" customFormat="false" ht="15" hidden="false" customHeight="false" outlineLevel="0" collapsed="false">
      <c r="B34" s="56" t="s">
        <v>178</v>
      </c>
      <c r="C34" s="18" t="s">
        <v>179</v>
      </c>
    </row>
    <row r="35" customFormat="false" ht="15" hidden="false" customHeight="false" outlineLevel="0" collapsed="false">
      <c r="B35" s="56" t="s">
        <v>180</v>
      </c>
      <c r="C35" s="18" t="s">
        <v>181</v>
      </c>
    </row>
    <row r="36" customFormat="false" ht="15" hidden="false" customHeight="false" outlineLevel="0" collapsed="false">
      <c r="B36" s="56" t="s">
        <v>182</v>
      </c>
      <c r="C36" s="18" t="s">
        <v>183</v>
      </c>
    </row>
    <row r="37" customFormat="false" ht="15" hidden="false" customHeight="false" outlineLevel="0" collapsed="false">
      <c r="B37" s="56" t="s">
        <v>184</v>
      </c>
      <c r="C37" s="18" t="s">
        <v>185</v>
      </c>
    </row>
    <row r="38" customFormat="false" ht="15" hidden="false" customHeight="false" outlineLevel="0" collapsed="false">
      <c r="B38" s="56" t="s">
        <v>186</v>
      </c>
      <c r="C38" s="18" t="s">
        <v>187</v>
      </c>
    </row>
    <row r="39" customFormat="false" ht="15" hidden="false" customHeight="false" outlineLevel="0" collapsed="false">
      <c r="B39" s="56" t="s">
        <v>188</v>
      </c>
      <c r="C39" s="18" t="s">
        <v>189</v>
      </c>
    </row>
    <row r="40" customFormat="false" ht="15" hidden="false" customHeight="false" outlineLevel="0" collapsed="false">
      <c r="B40" s="56" t="s">
        <v>190</v>
      </c>
      <c r="C40" s="18" t="s">
        <v>191</v>
      </c>
    </row>
    <row r="41" customFormat="false" ht="15" hidden="false" customHeight="false" outlineLevel="0" collapsed="false">
      <c r="B41" s="56" t="s">
        <v>192</v>
      </c>
      <c r="C41" s="18" t="s">
        <v>193</v>
      </c>
    </row>
    <row r="42" customFormat="false" ht="15" hidden="false" customHeight="false" outlineLevel="0" collapsed="false">
      <c r="B42" s="56" t="s">
        <v>194</v>
      </c>
      <c r="C42" s="18" t="s">
        <v>195</v>
      </c>
    </row>
  </sheetData>
  <mergeCells count="10">
    <mergeCell ref="B17:D17"/>
    <mergeCell ref="B18:D18"/>
    <mergeCell ref="B19:D19"/>
    <mergeCell ref="B20:D20"/>
    <mergeCell ref="B21:D21"/>
    <mergeCell ref="C24:D24"/>
    <mergeCell ref="C25:D25"/>
    <mergeCell ref="C26:D26"/>
    <mergeCell ref="C27:D27"/>
    <mergeCell ref="C28:D28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0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56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196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29" t="s">
        <v>197</v>
      </c>
      <c r="C7" s="30" t="s">
        <v>198</v>
      </c>
      <c r="D7" s="30" t="s">
        <v>199</v>
      </c>
      <c r="E7" s="30" t="s">
        <v>139</v>
      </c>
    </row>
    <row r="8" customFormat="false" ht="15" hidden="false" customHeight="false" outlineLevel="0" collapsed="false">
      <c r="B8" s="57" t="s">
        <v>200</v>
      </c>
      <c r="C8" s="58" t="n">
        <f aca="false">'Worked Examples'!C13</f>
        <v>10623.5223556342</v>
      </c>
      <c r="D8" s="59" t="n">
        <v>10623.52</v>
      </c>
      <c r="E8" s="60" t="str">
        <f aca="false">IF(ISNUMBER(C8),IF(ROUND(C8,2)=ROUND(D8,2),"PASS","FAIL"),"FAIL")</f>
        <v>PASS</v>
      </c>
    </row>
    <row r="9" customFormat="false" ht="15" hidden="false" customHeight="false" outlineLevel="0" collapsed="false">
      <c r="B9" s="57" t="s">
        <v>201</v>
      </c>
      <c r="C9" s="58" t="n">
        <f aca="false">'Worked Examples'!C14</f>
        <v>637411.34133805</v>
      </c>
      <c r="D9" s="59" t="n">
        <v>637411.34</v>
      </c>
      <c r="E9" s="60" t="str">
        <f aca="false">IF(ISNUMBER(C9),IF(ROUND(C9,2)=ROUND(D9,2),"PASS","FAIL"),"FAIL")</f>
        <v>PASS</v>
      </c>
    </row>
    <row r="10" customFormat="false" ht="15" hidden="false" customHeight="false" outlineLevel="0" collapsed="false">
      <c r="B10" s="57" t="s">
        <v>202</v>
      </c>
      <c r="C10" s="58" t="n">
        <f aca="false">'Worked Examples'!C15</f>
        <v>137411.34133805</v>
      </c>
      <c r="D10" s="59" t="n">
        <v>137411.34</v>
      </c>
      <c r="E10" s="60" t="str">
        <f aca="false">IF(ISNUMBER(C10),IF(ROUND(C10,2)=ROUND(D10,2),"PASS","FAIL"),"FAIL")</f>
        <v>PASS</v>
      </c>
    </row>
    <row r="11" customFormat="false" ht="15" hidden="false" customHeight="false" outlineLevel="0" collapsed="false">
      <c r="B11" s="57" t="s">
        <v>203</v>
      </c>
      <c r="C11" s="61" t="n">
        <f aca="false">'Worked Examples'!C16</f>
        <v>0.2748226826761</v>
      </c>
      <c r="D11" s="62" t="n">
        <v>0.2748</v>
      </c>
      <c r="E11" s="60" t="str">
        <f aca="false">IF(ISNUMBER(C11),IF(ROUND(C11,4)=ROUND(D11,4),"PASS","FAIL"),"FAIL")</f>
        <v>PASS</v>
      </c>
    </row>
    <row r="12" customFormat="false" ht="15" hidden="false" customHeight="false" outlineLevel="0" collapsed="false">
      <c r="B12" s="57" t="s">
        <v>204</v>
      </c>
      <c r="C12" s="58" t="n">
        <f aca="false">'Worked Examples'!C17</f>
        <v>4166.66666666667</v>
      </c>
      <c r="D12" s="59" t="n">
        <v>4166.67</v>
      </c>
      <c r="E12" s="60" t="str">
        <f aca="false">IF(ISNUMBER(C12),IF(ROUND(C12,2)=ROUND(D12,2),"PASS","FAIL"),"FAIL")</f>
        <v>PASS</v>
      </c>
    </row>
    <row r="13" customFormat="false" ht="15" hidden="false" customHeight="false" outlineLevel="0" collapsed="false">
      <c r="B13" s="57" t="s">
        <v>205</v>
      </c>
      <c r="C13" s="58" t="n">
        <f aca="false">'Worked Examples'!C18</f>
        <v>6456.8556889675</v>
      </c>
      <c r="D13" s="59" t="n">
        <v>6456.86</v>
      </c>
      <c r="E13" s="60" t="str">
        <f aca="false">IF(ISNUMBER(C13),IF(ROUND(C13,2)=ROUND(D13,2),"PASS","FAIL"),"FAIL")</f>
        <v>PASS</v>
      </c>
    </row>
    <row r="14" customFormat="false" ht="15" hidden="false" customHeight="false" outlineLevel="0" collapsed="false">
      <c r="B14" s="57" t="s">
        <v>206</v>
      </c>
      <c r="C14" s="58" t="n">
        <f aca="false">'Worked Examples'!C28</f>
        <v>13246.9418574931</v>
      </c>
      <c r="D14" s="59" t="n">
        <v>13246.94</v>
      </c>
      <c r="E14" s="60" t="str">
        <f aca="false">IF(ISNUMBER(C14),IF(ROUND(C14,2)=ROUND(D14,2),"PASS","FAIL"),"FAIL")</f>
        <v>PASS</v>
      </c>
    </row>
    <row r="15" customFormat="false" ht="15" hidden="false" customHeight="false" outlineLevel="0" collapsed="false">
      <c r="B15" s="57" t="s">
        <v>207</v>
      </c>
      <c r="C15" s="58" t="n">
        <f aca="false">'Worked Examples'!C30</f>
        <v>294816.511449585</v>
      </c>
      <c r="D15" s="59" t="n">
        <v>294816.51</v>
      </c>
      <c r="E15" s="60" t="str">
        <f aca="false">IF(ISNUMBER(C15),IF(ROUND(C15,2)=ROUND(D15,2),"PASS","FAIL"),"FAIL")</f>
        <v>PASS</v>
      </c>
    </row>
    <row r="16" customFormat="false" ht="15" hidden="false" customHeight="false" outlineLevel="0" collapsed="false">
      <c r="B16" s="57" t="s">
        <v>208</v>
      </c>
      <c r="C16" s="58" t="n">
        <f aca="false">'Worked Examples'!C40</f>
        <v>6607.5368440881</v>
      </c>
      <c r="D16" s="59" t="n">
        <v>6607.54</v>
      </c>
      <c r="E16" s="60" t="str">
        <f aca="false">IF(ISNUMBER(C16),IF(ROUND(C16,2)=ROUND(D16,2),"PASS","FAIL"),"FAIL")</f>
        <v>PASS</v>
      </c>
    </row>
    <row r="17" customFormat="false" ht="15" hidden="false" customHeight="false" outlineLevel="0" collapsed="false">
      <c r="B17" s="57" t="s">
        <v>209</v>
      </c>
      <c r="C17" s="58" t="n">
        <f aca="false">'Worked Examples'!C42</f>
        <v>292904.421290572</v>
      </c>
      <c r="D17" s="59" t="n">
        <v>292904.42</v>
      </c>
      <c r="E17" s="60" t="str">
        <f aca="false">IF(ISNUMBER(C17),IF(ROUND(C17,2)=ROUND(D17,2),"PASS","FAIL"),"FAIL")</f>
        <v>PASS</v>
      </c>
    </row>
    <row r="18" customFormat="false" ht="15" hidden="false" customHeight="false" outlineLevel="0" collapsed="false">
      <c r="B18" s="57" t="s">
        <v>210</v>
      </c>
      <c r="C18" s="58" t="n">
        <f aca="false">'Worked Examples'!C44</f>
        <v>155493.079952522</v>
      </c>
      <c r="D18" s="59" t="n">
        <v>155493</v>
      </c>
      <c r="E18" s="60" t="str">
        <f aca="false">IF(ISNUMBER(C18),IF(ROUND(C18,0)=ROUND(D18,0),"PASS","FAIL"),"FAIL")</f>
        <v>PASS</v>
      </c>
    </row>
    <row r="19" customFormat="false" ht="15.75" hidden="false" customHeight="true" outlineLevel="0" collapsed="false">
      <c r="B19" s="57" t="s">
        <v>211</v>
      </c>
      <c r="C19" s="63"/>
      <c r="D19" s="63"/>
      <c r="E19" s="60" t="str">
        <f aca="false">IF(AND(ABS('Worked Examples'!C19-'Worked Examples'!C13)&lt;0.000001,ABS('Worked Examples'!C20-'Worked Examples'!C17)&lt;0.000001),"PASS","FAIL")</f>
        <v>PASS</v>
      </c>
    </row>
    <row r="20" customFormat="false" ht="15.75" hidden="false" customHeight="true" outlineLevel="0" collapsed="false">
      <c r="B20" s="57" t="s">
        <v>212</v>
      </c>
      <c r="C20" s="63"/>
      <c r="D20" s="63"/>
      <c r="E20" s="60" t="str">
        <f aca="false">IF(ISNUMBER(Monthly_Payment),IF(ABS(XL_PMT-Monthly_Payment)&lt;0.000001*MAX(1,ABS(Monthly_Payment)),"PASS","FAIL"),"N/A")</f>
        <v>PASS</v>
      </c>
    </row>
    <row r="21" customFormat="false" ht="27.75" hidden="false" customHeight="true" outlineLevel="0" collapsed="false">
      <c r="B21" s="57" t="s">
        <v>213</v>
      </c>
      <c r="C21" s="63"/>
      <c r="D21" s="63"/>
      <c r="E21" s="60" t="str">
        <f aca="false">IF(ISNUMBER(Monthly_Payment),IF(AND(ABS(XL_IPMT-First_Interest)&lt;0.000001*MAX(1,ABS(Monthly_Payment)),ABS(XL_PPMT-First_Principal)&lt;0.000001*MAX(1,ABS(Monthly_Payment))),"PASS","FAIL"),"N/A")</f>
        <v>PASS</v>
      </c>
    </row>
    <row r="22" customFormat="false" ht="27.75" hidden="false" customHeight="true" outlineLevel="0" collapsed="false">
      <c r="B22" s="57" t="s">
        <v>214</v>
      </c>
      <c r="C22" s="63"/>
      <c r="D22" s="63"/>
      <c r="E22" s="60" t="str">
        <f aca="false">IF(ISNUMBER(Monthly_Payment),IF(ABS(IF(Monthly_Rate=0,Monthly_Payment*Term_Months,Monthly_Payment*(1-(1+Monthly_Rate)^(-Term_Months))/Monthly_Rate)-Loan_Amount)&lt;0.000001*MAX(1,Loan_Amount),"PASS","FAIL"),"N/A")</f>
        <v>PASS</v>
      </c>
    </row>
    <row r="23" customFormat="false" ht="27.75" hidden="false" customHeight="true" outlineLevel="0" collapsed="false">
      <c r="B23" s="57" t="s">
        <v>215</v>
      </c>
      <c r="C23" s="63"/>
      <c r="D23" s="63"/>
      <c r="E23" s="60" t="str">
        <f aca="false">IF(AND(ISNUMBER(Monthly_Payment),N(Term_Months)=INT(N(Term_Months))),IF(ABS(PPMT(Monthly_Rate,Term_Months,Term_Months,-Loan_Amount)-Last_Principal)&lt;0.000001*MAX(1,ABS(Monthly_Payment)),"PASS","FAIL"),"N/A")</f>
        <v>PASS</v>
      </c>
    </row>
    <row r="24" customFormat="false" ht="27.75" hidden="false" customHeight="true" outlineLevel="0" collapsed="false">
      <c r="B24" s="57" t="s">
        <v>216</v>
      </c>
      <c r="C24" s="63"/>
      <c r="D24" s="63"/>
      <c r="E24" s="60" t="str">
        <f aca="false">IF(AND(ISNUMBER(Monthly_Payment),ROUND(N(Annual_Rate),8)=0.1,Term_Months=60),IF(ABS('Rate and Term Grid'!F13-Monthly_Payment)&lt;0.000001,"PASS","FAIL"),"N/A")</f>
        <v>PASS</v>
      </c>
    </row>
    <row r="26" customFormat="false" ht="15" hidden="false" customHeight="false" outlineLevel="0" collapsed="false">
      <c r="B26" s="64" t="s">
        <v>217</v>
      </c>
      <c r="E26" s="65" t="str">
        <f aca="false">IF(AND(COUNTIF(E8:E24,"FAIL")=0,SUMPRODUCT(--ISERROR(C8:E24))=0),"ALL PASS","REVIEW")</f>
        <v>ALL PASS</v>
      </c>
    </row>
    <row r="28" customFormat="false" ht="43.5" hidden="false" customHeight="true" outlineLevel="0" collapsed="false">
      <c r="B28" s="20" t="s">
        <v>218</v>
      </c>
      <c r="C28" s="20"/>
      <c r="D28" s="20"/>
      <c r="E28" s="20"/>
    </row>
  </sheetData>
  <mergeCells count="1">
    <mergeCell ref="B28:E28"/>
  </mergeCells>
  <conditionalFormatting sqref="E8">
    <cfRule type="expression" priority="2" aboveAverage="0" equalAverage="0" bottom="0" percent="0" rank="0" text="" dxfId="7">
      <formula>E8="FAIL"</formula>
    </cfRule>
  </conditionalFormatting>
  <conditionalFormatting sqref="E9">
    <cfRule type="expression" priority="3" aboveAverage="0" equalAverage="0" bottom="0" percent="0" rank="0" text="" dxfId="7">
      <formula>E9="FAIL"</formula>
    </cfRule>
  </conditionalFormatting>
  <conditionalFormatting sqref="E10">
    <cfRule type="expression" priority="4" aboveAverage="0" equalAverage="0" bottom="0" percent="0" rank="0" text="" dxfId="7">
      <formula>E10="FAIL"</formula>
    </cfRule>
  </conditionalFormatting>
  <conditionalFormatting sqref="E11">
    <cfRule type="expression" priority="5" aboveAverage="0" equalAverage="0" bottom="0" percent="0" rank="0" text="" dxfId="7">
      <formula>E11="FAIL"</formula>
    </cfRule>
  </conditionalFormatting>
  <conditionalFormatting sqref="E12">
    <cfRule type="expression" priority="6" aboveAverage="0" equalAverage="0" bottom="0" percent="0" rank="0" text="" dxfId="7">
      <formula>E12="FAIL"</formula>
    </cfRule>
  </conditionalFormatting>
  <conditionalFormatting sqref="E13">
    <cfRule type="expression" priority="7" aboveAverage="0" equalAverage="0" bottom="0" percent="0" rank="0" text="" dxfId="7">
      <formula>E13="FAIL"</formula>
    </cfRule>
  </conditionalFormatting>
  <conditionalFormatting sqref="E14">
    <cfRule type="expression" priority="8" aboveAverage="0" equalAverage="0" bottom="0" percent="0" rank="0" text="" dxfId="7">
      <formula>E14="FAIL"</formula>
    </cfRule>
  </conditionalFormatting>
  <conditionalFormatting sqref="E15">
    <cfRule type="expression" priority="9" aboveAverage="0" equalAverage="0" bottom="0" percent="0" rank="0" text="" dxfId="7">
      <formula>E15="FAIL"</formula>
    </cfRule>
  </conditionalFormatting>
  <conditionalFormatting sqref="E16">
    <cfRule type="expression" priority="10" aboveAverage="0" equalAverage="0" bottom="0" percent="0" rank="0" text="" dxfId="7">
      <formula>E16="FAIL"</formula>
    </cfRule>
  </conditionalFormatting>
  <conditionalFormatting sqref="E17">
    <cfRule type="expression" priority="11" aboveAverage="0" equalAverage="0" bottom="0" percent="0" rank="0" text="" dxfId="7">
      <formula>E17="FAIL"</formula>
    </cfRule>
  </conditionalFormatting>
  <conditionalFormatting sqref="E18">
    <cfRule type="expression" priority="12" aboveAverage="0" equalAverage="0" bottom="0" percent="0" rank="0" text="" dxfId="7">
      <formula>E18="FAIL"</formula>
    </cfRule>
  </conditionalFormatting>
  <conditionalFormatting sqref="E19">
    <cfRule type="expression" priority="13" aboveAverage="0" equalAverage="0" bottom="0" percent="0" rank="0" text="" dxfId="7">
      <formula>E19="FAIL"</formula>
    </cfRule>
  </conditionalFormatting>
  <conditionalFormatting sqref="E20">
    <cfRule type="expression" priority="14" aboveAverage="0" equalAverage="0" bottom="0" percent="0" rank="0" text="" dxfId="7">
      <formula>E20="FAIL"</formula>
    </cfRule>
  </conditionalFormatting>
  <conditionalFormatting sqref="E21">
    <cfRule type="expression" priority="15" aboveAverage="0" equalAverage="0" bottom="0" percent="0" rank="0" text="" dxfId="7">
      <formula>E21="FAIL"</formula>
    </cfRule>
  </conditionalFormatting>
  <conditionalFormatting sqref="E22">
    <cfRule type="expression" priority="16" aboveAverage="0" equalAverage="0" bottom="0" percent="0" rank="0" text="" dxfId="7">
      <formula>E22="FAIL"</formula>
    </cfRule>
  </conditionalFormatting>
  <conditionalFormatting sqref="E23">
    <cfRule type="expression" priority="17" aboveAverage="0" equalAverage="0" bottom="0" percent="0" rank="0" text="" dxfId="7">
      <formula>E23="FAIL"</formula>
    </cfRule>
  </conditionalFormatting>
  <conditionalFormatting sqref="E24">
    <cfRule type="expression" priority="18" aboveAverage="0" equalAverage="0" bottom="0" percent="0" rank="0" text="" dxfId="7">
      <formula>E24="FAIL"</formula>
    </cfRule>
  </conditionalFormatting>
  <conditionalFormatting sqref="E26">
    <cfRule type="expression" priority="19" aboveAverage="0" equalAverage="0" bottom="0" percent="0" rank="0" text="" dxfId="8">
      <formula>E26="REVIEW"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2026-09-28T12:16:26Z</dcterms:created>
  <dc:creator>BabaDigit</dc:creator>
  <dc:description/>
  <cp:keywords>loan calculator EMI calculator PMT IPMT total interest Excel</cp:keywords>
  <dc:language>en-US</dc:language>
  <cp:lastModifiedBy/>
  <dcterms:modified xsi:type="dcterms:W3CDTF">2026-09-28T12:16:26Z</dcterms:modified>
  <cp:revision>0</cp:revision>
  <dc:subject>Loan EMI, total interest and payment split calculator</dc:subject>
  <dc:title>BabaDigit Loan EMI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