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3.xml.rels" ContentType="application/vnd.openxmlformats-package.relationships+xml"/>
  <Override PartName="/xl/worksheets/_rels/sheet2.xml.rels" ContentType="application/vnd.openxmlformats-package.relationship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sharedStrings.xml" ContentType="application/vnd.openxmlformats-officedocument.spreadsheetml.sharedStrings+xml"/>
  <Override PartName="/xl/comments2.xml" ContentType="application/vnd.openxmlformats-officedocument.spreadsheetml.comments+xml"/>
  <Override PartName="/xl/drawings/_rels/drawing1.xml.rels" ContentType="application/vnd.openxmlformats-package.relationships+xml"/>
  <Override PartName="/xl/drawings/vmlDrawing1.vml" ContentType="application/vnd.openxmlformats-officedocument.vmlDrawing"/>
  <Override PartName="/xl/drawings/drawing1.xml" ContentType="application/vnd.openxmlformats-officedocument.drawing+xml"/>
  <Override PartName="/xl/charts/chart1.xml" ContentType="application/vnd.openxmlformats-officedocument.drawingml.chart+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1"/>
  </bookViews>
  <sheets>
    <sheet name="Start Here" sheetId="1" state="visible" r:id="rId3"/>
    <sheet name="Payback Calculator" sheetId="2" state="visible" r:id="rId4"/>
    <sheet name="Recovery Chart" sheetId="3" state="visible" r:id="rId5"/>
    <sheet name="Compare Projects" sheetId="4" state="visible" r:id="rId6"/>
    <sheet name="Worked Examples" sheetId="5" state="visible" r:id="rId7"/>
    <sheet name="Formula Guide" sheetId="6" state="visible" r:id="rId8"/>
    <sheet name="Checks" sheetId="7" state="visible" r:id="rId9"/>
  </sheets>
  <definedNames>
    <definedName function="false" hidden="false" name="Cash_Flows" vbProcedure="false">'Payback Calculator'!$C$15:$C$44</definedName>
    <definedName function="false" hidden="false" name="Checks_Status" vbProcedure="false">Checks!$E$22</definedName>
    <definedName function="false" hidden="false" name="Discounted_Payback" vbProcedure="false">'Payback Calculator'!$K$14</definedName>
    <definedName function="false" hidden="false" name="Discount_Rate" vbProcedure="false">'Payback Calculator'!$D$10</definedName>
    <definedName function="false" hidden="false" name="DPayback_Points" vbProcedure="false">'Payback Calculator'!$H$15:$H$44</definedName>
    <definedName function="false" hidden="false" name="Initial_Investment" vbProcedure="false">'Payback Calculator'!$D$8</definedName>
    <definedName function="false" hidden="false" name="NPV_At_Rate" vbProcedure="false">'Payback Calculator'!$K$17</definedName>
    <definedName function="false" hidden="false" name="Payback_Points" vbProcedure="false">'Payback Calculator'!$E$15:$E$44</definedName>
    <definedName function="false" hidden="false" name="Payback_Years" vbProcedure="false">'Payback Calculator'!$J$11</definedName>
    <definedName function="false" hidden="false" name="Returned_Pct" vbProcedure="false">'Payback Calculator'!$K$16</definedName>
    <definedName function="false" hidden="false" name="Total_Returned" vbProcedure="false">'Payback Calculator'!$K$15</definedName>
    <definedName function="false" hidden="false" name="Years" vbProcedure="false">'Payback Calculator'!$B$15:$B$44</definedName>
  </definedNames>
  <calcPr fullCalcOnLoad="1" iterateCount="100" refMode="A1" iterate="false" iterateDelta="0.0001"/>
  <extLst>
    <ext xmlns:loext="http://schemas.libreoffice.org/" uri="{7626C862-2A13-11E5-B345-FEFF819CDC9F}">
      <loext:extCalcPr stringRefSyntax="ExcelA1"/>
    </ext>
  </extLst>
</workbook>
</file>

<file path=xl/comments2.xml><?xml version="1.0" encoding="utf-8"?>
<comments xmlns="http://schemas.openxmlformats.org/spreadsheetml/2006/main" xmlns:xdr="http://schemas.openxmlformats.org/drawingml/2006/spreadsheetDrawing">
  <authors>
    <author>Unknown Author</author>
  </authors>
  <commentList>
    <comment ref="D8" authorId="0">
      <text>
        <r>
          <rPr>
            <sz val="10"/>
            <rFont val="Arial"/>
            <family val="2"/>
          </rPr>
          <t xml:space="preserve">Example from the online calculator — replace with your own.</t>
        </r>
      </text>
    </comment>
  </commentList>
</comments>
</file>

<file path=xl/sharedStrings.xml><?xml version="1.0" encoding="utf-8"?>
<sst xmlns="http://schemas.openxmlformats.org/spreadsheetml/2006/main" count="227" uniqueCount="186">
  <si>
    <t xml:space="preserve">Payback Period Calculator — Excel Workbook</t>
  </si>
  <si>
    <t xml:space="preserve">BabaDigit free resource · babadigit.com/payback-period-calculator</t>
  </si>
  <si>
    <t xml:space="preserve">What this workbook does</t>
  </si>
  <si>
    <t xml:space="preserve">The payback period tells you how long it takes to get your money back. This workbook finds the simple payback, the discounted payback (which allows for the time value of money), the total cash returned and a chart of your cash position year by year — using the same method as the free Payback Period Calculator on babadigit.com.</t>
  </si>
  <si>
    <t xml:space="preserve">How to use it</t>
  </si>
  <si>
    <t xml:space="preserve">1. Open 'Payback Calculator'</t>
  </si>
  <si>
    <t xml:space="preserve">Enter the initial investment and a discount rate in the yellow cells at the top.</t>
  </si>
  <si>
    <t xml:space="preserve">2. Enter the yearly cash flows</t>
  </si>
  <si>
    <t xml:space="preserve">Year 1 first, up to 30 years. Use negative numbers for years that cost money.</t>
  </si>
  <si>
    <t xml:space="preserve">3. Read the result</t>
  </si>
  <si>
    <t xml:space="preserve">The navy panel shows simple and discounted payback, the cash returned and the share of the investment it represents.</t>
  </si>
  <si>
    <t xml:space="preserve">4. See the recovery</t>
  </si>
  <si>
    <t xml:space="preserve">'Recovery Chart' plots your cumulative cash position — payback is where each line crosses zero.</t>
  </si>
  <si>
    <t xml:space="preserve">5. Compare projects</t>
  </si>
  <si>
    <t xml:space="preserve">'Compare Projects' puts up to four projects side by side, ranked by how quickly they pay back.</t>
  </si>
  <si>
    <t xml:space="preserve">Inputs explained</t>
  </si>
  <si>
    <t xml:space="preserve">Initial investment</t>
  </si>
  <si>
    <t xml:space="preserve">What you pay out at the start. Enter it as a positive number.</t>
  </si>
  <si>
    <t xml:space="preserve">Discount rate</t>
  </si>
  <si>
    <t xml:space="preserve">The yearly return you could earn elsewhere — used only for the discounted payback. Type 10% (or 0.10).</t>
  </si>
  <si>
    <t xml:space="preserve">Yearly cash flows</t>
  </si>
  <si>
    <t xml:space="preserve">Net cash for each year. The fraction of a year assumes cash arrives evenly through that year.</t>
  </si>
  <si>
    <t xml:space="preserve">Cell colour key</t>
  </si>
  <si>
    <t xml:space="preserve">Yellow cell, blue text</t>
  </si>
  <si>
    <t xml:space="preserve">An input — type your own numbers here.</t>
  </si>
  <si>
    <t xml:space="preserve">White cell, black text</t>
  </si>
  <si>
    <t xml:space="preserve">A formula — calculated for you. Please do not overwrite.</t>
  </si>
  <si>
    <t xml:space="preserve">Navy panel, teal figures</t>
  </si>
  <si>
    <t xml:space="preserve">The headline results.</t>
  </si>
  <si>
    <t xml:space="preserve">—  (a dash)</t>
  </si>
  <si>
    <t xml:space="preserve">The result is not mathematically available for the figures entered — see 'Input checks'.</t>
  </si>
  <si>
    <t xml:space="preserve">How to interpret payback</t>
  </si>
  <si>
    <t xml:space="preserve">Simple payback</t>
  </si>
  <si>
    <t xml:space="preserve">How long until the cash coming in adds up to what you put in. A risk and liquidity filter, not a measure of value.</t>
  </si>
  <si>
    <t xml:space="preserve">Discounted payback</t>
  </si>
  <si>
    <t xml:space="preserve">The same, after discounting each year's cash at your rate. It is always at least as long as simple payback.</t>
  </si>
  <si>
    <t xml:space="preserve">Not recovered</t>
  </si>
  <si>
    <t xml:space="preserve">The cash flows entered never add up to the investment within the period. On a discounted basis this means the project does not clear your rate.</t>
  </si>
  <si>
    <t xml:space="preserve">What payback ignores</t>
  </si>
  <si>
    <t xml:space="preserve">Everything after the break-even point. Always read it alongside NPV.</t>
  </si>
  <si>
    <t xml:space="preserve">Limitations and assumptions</t>
  </si>
  <si>
    <t xml:space="preserve">•  Payback stops counting at break-even and ignores all cash after it — usually where the value is.</t>
  </si>
  <si>
    <t xml:space="preserve">•  The fraction of the final year assumes cash arrives evenly during that year. If yours is seasonal, treat the decimal as an approximation.</t>
  </si>
  <si>
    <t xml:space="preserve">•  There is no objective cut-off: 'under three years' is a policy choice, not a finding.</t>
  </si>
  <si>
    <t xml:space="preserve">•  A blank year inside the timeline counts as zero. The timeline ends at the last year you fill in.</t>
  </si>
  <si>
    <t xml:space="preserve">•  Enter all amounts in one currency. Results are for general information, not financial advice.</t>
  </si>
  <si>
    <t xml:space="preserve">Workbook contents</t>
  </si>
  <si>
    <t xml:space="preserve">Payback Calculator</t>
  </si>
  <si>
    <t xml:space="preserve">Your calculation: inputs, year-by-year recovery, results and interpretation.</t>
  </si>
  <si>
    <t xml:space="preserve">Recovery Chart</t>
  </si>
  <si>
    <t xml:space="preserve">Cumulative cash position, simple and discounted, with a chart.</t>
  </si>
  <si>
    <t xml:space="preserve">Compare Projects</t>
  </si>
  <si>
    <t xml:space="preserve">Up to four projects ranked by payback.</t>
  </si>
  <si>
    <t xml:space="preserve">Worked Examples</t>
  </si>
  <si>
    <t xml:space="preserve">Three worked examples, plus the spreadsheet formula check.</t>
  </si>
  <si>
    <t xml:space="preserve">Formula Guide</t>
  </si>
  <si>
    <t xml:space="preserve">The maths and the exact formula behind every result.</t>
  </si>
  <si>
    <t xml:space="preserve">Checks</t>
  </si>
  <si>
    <t xml:space="preserve">Automatic self-checks that confirm the workbook is calculating correctly.</t>
  </si>
  <si>
    <t xml:space="preserve">No macros, no add-ins, no internet connection required. Sheets are not locked, so you can adapt the workbook. © BabaDigit — free to use for your own analysis. Free online version: babadigit.com/payback-period-calculator. Results are for general information only and are not financial advice.</t>
  </si>
  <si>
    <t xml:space="preserve">Enter your figures in the yellow cells. Results update automatically.</t>
  </si>
  <si>
    <t xml:space="preserve">1  Investment and discount rate</t>
  </si>
  <si>
    <t xml:space="preserve">Positive number, paid at the start.</t>
  </si>
  <si>
    <t xml:space="preserve">RESULTS</t>
  </si>
  <si>
    <t xml:space="preserve">Discount rate (per year)</t>
  </si>
  <si>
    <t xml:space="preserve">Used for the discounted payback only. Type 10% or 0.10.</t>
  </si>
  <si>
    <t xml:space="preserve">Payback period</t>
  </si>
  <si>
    <t xml:space="preserve">2  Yearly cash flows and recovery</t>
  </si>
  <si>
    <t xml:space="preserve">Year</t>
  </si>
  <si>
    <t xml:space="preserve">Cash flow</t>
  </si>
  <si>
    <t xml:space="preserve">Cumulative cash</t>
  </si>
  <si>
    <t xml:space="preserve">Payback point</t>
  </si>
  <si>
    <t xml:space="preserve">Discounted cash flow</t>
  </si>
  <si>
    <t xml:space="preserve">Discounted cumulative</t>
  </si>
  <si>
    <t xml:space="preserve">Discounted payback point</t>
  </si>
  <si>
    <t xml:space="preserve">Total cash returned</t>
  </si>
  <si>
    <t xml:space="preserve">Cash returned as % of investment</t>
  </si>
  <si>
    <t xml:space="preserve">NPV at the discount rate</t>
  </si>
  <si>
    <t xml:space="preserve">Reading this result</t>
  </si>
  <si>
    <t xml:space="preserve">Input checks</t>
  </si>
  <si>
    <t xml:space="preserve">Payback = full years before recovery + (amount still outstanding ÷ cash flow in the recovery year). See 'Formula Guide'.</t>
  </si>
  <si>
    <t xml:space="preserve">The NPV line is shown for context — if discounted payback is never reached and no cash flow is negative, NPV is negative.</t>
  </si>
  <si>
    <t xml:space="preserve">Total</t>
  </si>
  <si>
    <t xml:space="preserve">Payback point = full years before recovery + the fraction of the recovery year needed to close the gap. Only the first recovery counts.</t>
  </si>
  <si>
    <t xml:space="preserve">Your cash position after each year: payback is where a line crosses zero.</t>
  </si>
  <si>
    <t xml:space="preserve">Cash position</t>
  </si>
  <si>
    <t xml:space="preserve">Discounted position</t>
  </si>
  <si>
    <t xml:space="preserve">Year 0 = the investment paid out. Each line rises as cash comes in; where it crosses zero the money is back. After the last year you enter, the lines stay flat. Discounted position shows 0 when the rate is invalid.</t>
  </si>
  <si>
    <t xml:space="preserve">Up to four projects side by side, ranked by how quickly they pay back.</t>
  </si>
  <si>
    <t xml:space="preserve">Project 1</t>
  </si>
  <si>
    <t xml:space="preserve">Project 2</t>
  </si>
  <si>
    <t xml:space="preserve">Project 3</t>
  </si>
  <si>
    <t xml:space="preserve">Project 4</t>
  </si>
  <si>
    <t xml:space="preserve">Project name</t>
  </si>
  <si>
    <t xml:space="preserve">Machine</t>
  </si>
  <si>
    <t xml:space="preserve">Expansion</t>
  </si>
  <si>
    <t xml:space="preserve">Results</t>
  </si>
  <si>
    <t xml:space="preserve">Returned as % of investment</t>
  </si>
  <si>
    <t xml:space="preserve">Rank (fastest payback = 1)</t>
  </si>
  <si>
    <t xml:space="preserve">Rank uses simple payback — a risk filter. A faster payback is not the same as more value: compare NPV before choosing. The example projects are fictional.</t>
  </si>
  <si>
    <t xml:space="preserve">Workings — first recovery point for each project (simple | discounted)</t>
  </si>
  <si>
    <t xml:space="preserve">Fictional scenarios — the same examples as babadigit.com/payback-period-calculator.</t>
  </si>
  <si>
    <t xml:space="preserve">Example 1 — Even cash flows: a simple machine</t>
  </si>
  <si>
    <t xml:space="preserve">A 20,000 machine generates 8,000 a year. After two years 16,000 is back; half of year three closes the remaining 4,000.</t>
  </si>
  <si>
    <t xml:space="preserve">Cumulative</t>
  </si>
  <si>
    <t xml:space="preserve">Payback</t>
  </si>
  <si>
    <t xml:space="preserve">Shortcut for even flows: investment ÷ yearly cash</t>
  </si>
  <si>
    <t xml:space="preserve">20,000 ÷ 8,000 = 2.5 — only valid when every year is the same</t>
  </si>
  <si>
    <t xml:space="preserve">Spreadsheet method from the article</t>
  </si>
  <si>
    <t xml:space="preserve">Full years still in deficit + fraction of the next year — valid while the running total never falls back</t>
  </si>
  <si>
    <t xml:space="preserve">Example 2 — Uneven cash flows: a business that builds up</t>
  </si>
  <si>
    <t xml:space="preserve">A 60,000 project returns 15,000, 20,000, 25,000 and 30,000. The cumulative total reaches exactly 60,000 at the end of year three.</t>
  </si>
  <si>
    <t xml:space="preserve">Example 3 — Discounted payback: the same machine at 10%</t>
  </si>
  <si>
    <t xml:space="preserve">The 20,000 machine again, but each year's 8,000 is discounted at 10% before it is counted. Simple payback said 2.5 years; discounted payback is never reached.</t>
  </si>
  <si>
    <t xml:space="preserve">Discounted</t>
  </si>
  <si>
    <t xml:space="preserve">Still short after three years</t>
  </si>
  <si>
    <t xml:space="preserve">105.18 — exactly the negative NPV of this project at 10%</t>
  </si>
  <si>
    <t xml:space="preserve">Change any yellow cell to see how each result responds. Examples are fictional and for illustration only.</t>
  </si>
  <si>
    <t xml:space="preserve">The method behind every result — identical to the online BabaDigit Payback Period Calculator.</t>
  </si>
  <si>
    <t xml:space="preserve">The formulas</t>
  </si>
  <si>
    <t xml:space="preserve">Result</t>
  </si>
  <si>
    <t xml:space="preserve">Mathematical formula</t>
  </si>
  <si>
    <t xml:space="preserve">How this workbook calculates it</t>
  </si>
  <si>
    <t xml:space="preserve">Running total of the yearly cash flows</t>
  </si>
  <si>
    <t xml:space="preserve">=previous cumulative + N(cash flow)</t>
  </si>
  <si>
    <t xml:space="preserve">(t − 1) + (investment − cumulative before year t) ÷ cash flow_t, in the first year t where cash flow &gt; 0 and the running total reaches the investment</t>
  </si>
  <si>
    <t xml:space="preserve">=IF(AND(valid, N(C)&gt;0, before + N(C) &gt;= investment, first time), year − 1 + (investment − before) / C, "")</t>
  </si>
  <si>
    <t xml:space="preserve">The first payback point, or 'Not recovered'</t>
  </si>
  <si>
    <t xml:space="preserve">=IF(COUNT(points)=0,"Not recovered",SUM(points))</t>
  </si>
  <si>
    <t xml:space="preserve">Cash flow_t ÷ (1 + rate)^t</t>
  </si>
  <si>
    <t xml:space="preserve">=IF(AND(ISNUMBER(C), rate &gt; −100%), C / (1 + rate)^year, "")</t>
  </si>
  <si>
    <t xml:space="preserve">The same method applied to discounted cash flows</t>
  </si>
  <si>
    <t xml:space="preserve">Columns F to H on 'Payback Calculator'</t>
  </si>
  <si>
    <t xml:space="preserve">Cash returned as %</t>
  </si>
  <si>
    <t xml:space="preserve">Total cash flows ÷ investment</t>
  </si>
  <si>
    <t xml:space="preserve">=Total_Returned / Initial_Investment</t>
  </si>
  <si>
    <t xml:space="preserve">Why these rules</t>
  </si>
  <si>
    <t xml:space="preserve">•  Results appear only when the investment is above zero and at least one cash flow is entered — exactly like the online calculator.</t>
  </si>
  <si>
    <t xml:space="preserve">•  Only the first time the running total reaches the investment counts. A later dip back below does not change the payback.</t>
  </si>
  <si>
    <t xml:space="preserve">•  A year with zero or negative cash can never be the recovery year; the running total still includes it.</t>
  </si>
  <si>
    <t xml:space="preserve">•  A discount rate of −100% or below has no meaning, so the discounted payback shows '—'.</t>
  </si>
  <si>
    <t xml:space="preserve">•  If the discounted payback is never reached and no cash flow is negative, the NPV at that rate is negative — the two statements are the same fact.</t>
  </si>
  <si>
    <t xml:space="preserve">Do it in any spreadsheet</t>
  </si>
  <si>
    <t xml:space="preserve">Set-up</t>
  </si>
  <si>
    <t xml:space="preserve">Outlay (negative) in B1, cash flows in B2 down; cumulative in C2 = B1+B2, C3 = C2+B3 …</t>
  </si>
  <si>
    <t xml:space="preserve">Payback (from the online article)</t>
  </si>
  <si>
    <t xml:space="preserve">=COUNTIF(C2:C10,"&lt;0") + ABS(INDEX(C2:C10,COUNTIF(C2:C10,"&lt;0"))) / INDEX(B2:B10,COUNTIF(C2:C10,"&lt;0")+1)</t>
  </si>
  <si>
    <t xml:space="preserve">Caveats</t>
  </si>
  <si>
    <t xml:space="preserve">Works while the cumulative total never dips back below zero, and needs at least one year in deficit (payback over one year).</t>
  </si>
  <si>
    <t xml:space="preserve">Build the cumulative column on =B2/(1+rate)^n instead and use the same approach.</t>
  </si>
  <si>
    <t xml:space="preserve">Named ranges used</t>
  </si>
  <si>
    <t xml:space="preserve">Initial_Investment</t>
  </si>
  <si>
    <t xml:space="preserve">'Payback Calculator'!D8</t>
  </si>
  <si>
    <t xml:space="preserve">Discount_Rate</t>
  </si>
  <si>
    <t xml:space="preserve">'Payback Calculator'!D10</t>
  </si>
  <si>
    <t xml:space="preserve">Cash_Flows</t>
  </si>
  <si>
    <t xml:space="preserve">'Payback Calculator'!C15:C44</t>
  </si>
  <si>
    <t xml:space="preserve">Payback_Years</t>
  </si>
  <si>
    <t xml:space="preserve">'Payback Calculator'!J11</t>
  </si>
  <si>
    <t xml:space="preserve">Discounted_Payback</t>
  </si>
  <si>
    <t xml:space="preserve">'Payback Calculator'!K14</t>
  </si>
  <si>
    <t xml:space="preserve">Total_Returned</t>
  </si>
  <si>
    <t xml:space="preserve">'Payback Calculator'!K15</t>
  </si>
  <si>
    <t xml:space="preserve">Returned_Pct</t>
  </si>
  <si>
    <t xml:space="preserve">'Payback Calculator'!K16</t>
  </si>
  <si>
    <t xml:space="preserve">NPV_At_Rate</t>
  </si>
  <si>
    <t xml:space="preserve">'Payback Calculator'!K17</t>
  </si>
  <si>
    <t xml:space="preserve">Automatic self-checks. Every row should read PASS (or N/A).</t>
  </si>
  <si>
    <t xml:space="preserve">Check</t>
  </si>
  <si>
    <t xml:space="preserve">Workbook</t>
  </si>
  <si>
    <t xml:space="preserve">Expected</t>
  </si>
  <si>
    <t xml:space="preserve">Example 1 payback matches the published 2.50 years</t>
  </si>
  <si>
    <t xml:space="preserve">Example 1 shortcut 20,000 ÷ 8,000 = 2.5</t>
  </si>
  <si>
    <t xml:space="preserve">Example 1 spreadsheet formula from the article gives 2.50</t>
  </si>
  <si>
    <t xml:space="preserve">Example 2 payback matches the published 3.00 years</t>
  </si>
  <si>
    <t xml:space="preserve">Example 3 discounted cumulative, year 1 = 7,272.73</t>
  </si>
  <si>
    <t xml:space="preserve">Example 3 discounted cumulative, year 2 = 13,884.30</t>
  </si>
  <si>
    <t xml:space="preserve">Example 3 discounted cumulative, year 3 = 19,894.82</t>
  </si>
  <si>
    <t xml:space="preserve">Example 3 shortfall matches the published 105.18</t>
  </si>
  <si>
    <t xml:space="preserve">Example 3: discounted payback is 'Not recovered', as published</t>
  </si>
  <si>
    <t xml:space="preserve">Payback Calculator: discounted payback is never shorter than simple payback (positive rate)</t>
  </si>
  <si>
    <t xml:space="preserve">Payback Calculator: with no negative flows, discounted payback reached exactly when NPV ≥ 0</t>
  </si>
  <si>
    <t xml:space="preserve">Payback Calculator: running total at the payback point equals the investment</t>
  </si>
  <si>
    <t xml:space="preserve">Recovery Chart: cash position in the last year equals total returned − investment</t>
  </si>
  <si>
    <t xml:space="preserve">Overall status</t>
  </si>
  <si>
    <t xml:space="preserve">'N/A' means a check does not apply to the figures currently entered. Published values are the worked-example results on babadigit.com/payback-period-calculator.</t>
  </si>
</sst>
</file>

<file path=xl/styles.xml><?xml version="1.0" encoding="utf-8"?>
<styleSheet xmlns="http://schemas.openxmlformats.org/spreadsheetml/2006/main">
  <numFmts count="9">
    <numFmt numFmtId="164" formatCode="General"/>
    <numFmt numFmtId="165" formatCode="#,##0.00;[RED]\-#,##0.00;\-"/>
    <numFmt numFmtId="166" formatCode="0.00%"/>
    <numFmt numFmtId="167" formatCode="0.00&quot; years&quot;"/>
    <numFmt numFmtId="168" formatCode="&quot;Year &quot;0"/>
    <numFmt numFmtId="169" formatCode="0.00"/>
    <numFmt numFmtId="170" formatCode="0.0%"/>
    <numFmt numFmtId="171" formatCode="0"/>
    <numFmt numFmtId="172" formatCode="#,##0"/>
  </numFmts>
  <fonts count="36">
    <font>
      <sz val="11"/>
      <color theme="1"/>
      <name val="Calibri"/>
      <family val="2"/>
      <charset val="1"/>
    </font>
    <font>
      <sz val="10"/>
      <name val="Arial"/>
      <family val="0"/>
    </font>
    <font>
      <sz val="10"/>
      <name val="Arial"/>
      <family val="0"/>
    </font>
    <font>
      <sz val="10"/>
      <name val="Arial"/>
      <family val="0"/>
    </font>
    <font>
      <b val="true"/>
      <sz val="18"/>
      <color rgb="FFFFFFFF"/>
      <name val="Arial"/>
      <family val="0"/>
      <charset val="1"/>
    </font>
    <font>
      <sz val="10"/>
      <color rgb="FF94A3B8"/>
      <name val="Arial"/>
      <family val="0"/>
      <charset val="1"/>
    </font>
    <font>
      <b val="true"/>
      <sz val="11"/>
      <color rgb="FF0F172A"/>
      <name val="Arial"/>
      <family val="0"/>
      <charset val="1"/>
    </font>
    <font>
      <sz val="10"/>
      <color rgb="FF334155"/>
      <name val="Arial"/>
      <family val="0"/>
      <charset val="1"/>
    </font>
    <font>
      <b val="true"/>
      <sz val="10"/>
      <color rgb="FF0F172A"/>
      <name val="Arial"/>
      <family val="0"/>
      <charset val="1"/>
    </font>
    <font>
      <b val="true"/>
      <sz val="10"/>
      <color rgb="FF0000FF"/>
      <name val="Arial"/>
      <family val="0"/>
      <charset val="1"/>
    </font>
    <font>
      <b val="true"/>
      <sz val="10"/>
      <color rgb="FF000000"/>
      <name val="Arial"/>
      <family val="0"/>
      <charset val="1"/>
    </font>
    <font>
      <b val="true"/>
      <sz val="10"/>
      <color rgb="FF14B8A6"/>
      <name val="Arial"/>
      <family val="0"/>
      <charset val="1"/>
    </font>
    <font>
      <b val="true"/>
      <sz val="10"/>
      <color rgb="FF334155"/>
      <name val="Arial"/>
      <family val="0"/>
      <charset val="1"/>
    </font>
    <font>
      <b val="true"/>
      <sz val="10"/>
      <color rgb="FF2563EB"/>
      <name val="Arial"/>
      <family val="0"/>
      <charset val="1"/>
    </font>
    <font>
      <i val="true"/>
      <sz val="9"/>
      <color rgb="FF64748B"/>
      <name val="Arial"/>
      <family val="0"/>
      <charset val="1"/>
    </font>
    <font>
      <sz val="10"/>
      <color rgb="FF0000FF"/>
      <name val="Arial"/>
      <family val="0"/>
      <charset val="1"/>
    </font>
    <font>
      <sz val="9"/>
      <color rgb="FF64748B"/>
      <name val="Arial"/>
      <family val="0"/>
      <charset val="1"/>
    </font>
    <font>
      <b val="true"/>
      <sz val="9"/>
      <color rgb="FF94A3B8"/>
      <name val="Arial"/>
      <family val="0"/>
      <charset val="1"/>
    </font>
    <font>
      <sz val="10"/>
      <color rgb="FFCBD5E1"/>
      <name val="Arial"/>
      <family val="0"/>
      <charset val="1"/>
    </font>
    <font>
      <b val="true"/>
      <sz val="26"/>
      <color rgb="FF14B8A6"/>
      <name val="Arial"/>
      <family val="0"/>
      <charset val="1"/>
    </font>
    <font>
      <b val="true"/>
      <sz val="9"/>
      <color rgb="FFFFFFFF"/>
      <name val="Arial"/>
      <family val="0"/>
      <charset val="1"/>
    </font>
    <font>
      <b val="true"/>
      <sz val="11"/>
      <color rgb="FFFFFFFF"/>
      <name val="Arial"/>
      <family val="0"/>
      <charset val="1"/>
    </font>
    <font>
      <sz val="10"/>
      <color rgb="FF000000"/>
      <name val="Arial"/>
      <family val="0"/>
      <charset val="1"/>
    </font>
    <font>
      <b val="true"/>
      <sz val="10"/>
      <color rgb="FF0F766E"/>
      <name val="Arial"/>
      <family val="0"/>
      <charset val="1"/>
    </font>
    <font>
      <sz val="9"/>
      <color rgb="FF94A3B8"/>
      <name val="Arial"/>
      <family val="0"/>
      <charset val="1"/>
    </font>
    <font>
      <sz val="9"/>
      <color rgb="FF334155"/>
      <name val="Arial"/>
      <family val="0"/>
      <charset val="1"/>
    </font>
    <font>
      <i val="true"/>
      <sz val="8"/>
      <color rgb="FF64748B"/>
      <name val="Arial"/>
      <family val="0"/>
      <charset val="1"/>
    </font>
    <font>
      <sz val="10"/>
      <name val="Arial"/>
      <family val="2"/>
    </font>
    <font>
      <b val="true"/>
      <sz val="18"/>
      <color rgb="FF000000"/>
      <name val="Calibri"/>
      <family val="2"/>
    </font>
    <font>
      <sz val="10"/>
      <color rgb="FF000000"/>
      <name val="Calibri"/>
      <family val="2"/>
    </font>
    <font>
      <b val="true"/>
      <sz val="10"/>
      <color rgb="FF000000"/>
      <name val="Calibri"/>
      <family val="2"/>
    </font>
    <font>
      <sz val="9"/>
      <color rgb="FF334155"/>
      <name val="Courier New"/>
      <family val="0"/>
      <charset val="1"/>
    </font>
    <font>
      <sz val="10"/>
      <color rgb="FF334155"/>
      <name val="Courier New"/>
      <family val="0"/>
      <charset val="1"/>
    </font>
    <font>
      <sz val="10"/>
      <color rgb="FF0F172A"/>
      <name val="Courier New"/>
      <family val="0"/>
      <charset val="1"/>
    </font>
    <font>
      <sz val="10"/>
      <color rgb="FF64748B"/>
      <name val="Arial"/>
      <family val="0"/>
      <charset val="1"/>
    </font>
    <font>
      <b val="true"/>
      <sz val="11"/>
      <color rgb="FF0F766E"/>
      <name val="Arial"/>
      <family val="0"/>
      <charset val="1"/>
    </font>
  </fonts>
  <fills count="7">
    <fill>
      <patternFill patternType="none"/>
    </fill>
    <fill>
      <patternFill patternType="gray125"/>
    </fill>
    <fill>
      <patternFill patternType="solid">
        <fgColor rgb="FF0F172A"/>
        <bgColor rgb="FF1E293B"/>
      </patternFill>
    </fill>
    <fill>
      <patternFill patternType="solid">
        <fgColor rgb="FF14B8A6"/>
        <bgColor rgb="FF00CCFF"/>
      </patternFill>
    </fill>
    <fill>
      <patternFill patternType="solid">
        <fgColor rgb="FFFEF9C3"/>
        <bgColor rgb="FFFFFF99"/>
      </patternFill>
    </fill>
    <fill>
      <patternFill patternType="solid">
        <fgColor rgb="FFFFFFFF"/>
        <bgColor rgb="FFF8FAFC"/>
      </patternFill>
    </fill>
    <fill>
      <patternFill patternType="solid">
        <fgColor rgb="FFF8FAFC"/>
        <bgColor rgb="FFFFFFFF"/>
      </patternFill>
    </fill>
  </fills>
  <borders count="6">
    <border diagonalUp="false" diagonalDown="false">
      <left/>
      <right/>
      <top/>
      <bottom/>
      <diagonal/>
    </border>
    <border diagonalUp="false" diagonalDown="false">
      <left/>
      <right/>
      <top/>
      <bottom style="medium">
        <color rgb="FF2563EB"/>
      </bottom>
      <diagonal/>
    </border>
    <border diagonalUp="false" diagonalDown="false">
      <left style="thin">
        <color rgb="FFE2E8F0"/>
      </left>
      <right style="thin">
        <color rgb="FFE2E8F0"/>
      </right>
      <top style="thin">
        <color rgb="FFE2E8F0"/>
      </top>
      <bottom style="thin">
        <color rgb="FFE2E8F0"/>
      </bottom>
      <diagonal/>
    </border>
    <border diagonalUp="false" diagonalDown="false">
      <left/>
      <right/>
      <top/>
      <bottom style="thin">
        <color rgb="FF1E293B"/>
      </bottom>
      <diagonal/>
    </border>
    <border diagonalUp="false" diagonalDown="false">
      <left/>
      <right/>
      <top style="medium">
        <color rgb="FF0F172A"/>
      </top>
      <bottom style="thin">
        <color rgb="FFE2E8F0"/>
      </bottom>
      <diagonal/>
    </border>
    <border diagonalUp="false" diagonalDown="false">
      <left/>
      <right/>
      <top/>
      <bottom style="thin">
        <color rgb="FFE2E8F0"/>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69">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false" applyAlignment="true" applyProtection="false">
      <alignment horizontal="general" vertical="center" textRotation="0" wrapText="false" indent="0" shrinkToFit="false"/>
      <protection locked="true" hidden="false"/>
    </xf>
    <xf numFmtId="164" fontId="5" fillId="2" borderId="0" xfId="0" applyFont="true" applyBorder="false" applyAlignment="false" applyProtection="false">
      <alignment horizontal="general" vertical="bottom" textRotation="0" wrapText="false" indent="0" shrinkToFit="false"/>
      <protection locked="true" hidden="false"/>
    </xf>
    <xf numFmtId="164" fontId="0" fillId="3" borderId="0" xfId="0" applyFont="false" applyBorder="false" applyAlignment="false" applyProtection="false">
      <alignment horizontal="general" vertical="bottom" textRotation="0" wrapText="false" indent="0" shrinkToFit="false"/>
      <protection locked="true" hidden="false"/>
    </xf>
    <xf numFmtId="164" fontId="6" fillId="0" borderId="1" xfId="0" applyFont="true" applyBorder="true" applyAlignment="false" applyProtection="false">
      <alignment horizontal="general" vertical="bottom" textRotation="0" wrapText="fals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4" fontId="7" fillId="0" borderId="0" xfId="0" applyFont="true" applyBorder="true" applyAlignment="true" applyProtection="false">
      <alignment horizontal="general" vertical="top" textRotation="0" wrapText="tru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9" fillId="4" borderId="2" xfId="0" applyFont="true" applyBorder="true" applyAlignment="false" applyProtection="false">
      <alignment horizontal="general" vertical="bottom" textRotation="0" wrapText="false" indent="0" shrinkToFit="false"/>
      <protection locked="true" hidden="false"/>
    </xf>
    <xf numFmtId="164" fontId="10" fillId="5" borderId="2" xfId="0" applyFont="true" applyBorder="true" applyAlignment="false" applyProtection="false">
      <alignment horizontal="general" vertical="bottom" textRotation="0" wrapText="false" indent="0" shrinkToFit="false"/>
      <protection locked="true" hidden="false"/>
    </xf>
    <xf numFmtId="164" fontId="11" fillId="2" borderId="2" xfId="0" applyFont="true" applyBorder="true" applyAlignment="false" applyProtection="false">
      <alignment horizontal="general" vertical="bottom" textRotation="0" wrapText="false" indent="0" shrinkToFit="false"/>
      <protection locked="true" hidden="false"/>
    </xf>
    <xf numFmtId="164" fontId="12" fillId="5" borderId="2" xfId="0" applyFont="true" applyBorder="true" applyAlignment="false" applyProtection="false">
      <alignment horizontal="general" vertical="bottom" textRotation="0" wrapText="false" indent="0" shrinkToFit="false"/>
      <protection locked="true" hidden="false"/>
    </xf>
    <xf numFmtId="164" fontId="13" fillId="0" borderId="0" xfId="0" applyFont="true" applyBorder="false" applyAlignment="false" applyProtection="false">
      <alignment horizontal="general" vertical="bottom" textRotation="0" wrapText="false" indent="0" shrinkToFit="false"/>
      <protection locked="true" hidden="false"/>
    </xf>
    <xf numFmtId="164" fontId="14" fillId="0" borderId="0" xfId="0" applyFont="true" applyBorder="true" applyAlignment="true" applyProtection="false">
      <alignment horizontal="general" vertical="top" textRotation="0" wrapText="true" indent="0" shrinkToFit="false"/>
      <protection locked="true" hidden="false"/>
    </xf>
    <xf numFmtId="164" fontId="0" fillId="2" borderId="0" xfId="0" applyFont="false" applyBorder="false" applyAlignment="true" applyProtection="false">
      <alignment horizontal="left" vertical="bottom" textRotation="0" wrapText="false" indent="1" shrinkToFit="false"/>
      <protection locked="true" hidden="false"/>
    </xf>
    <xf numFmtId="164" fontId="0" fillId="2" borderId="0" xfId="0" applyFont="false" applyBorder="false" applyAlignment="true" applyProtection="false">
      <alignment horizontal="right" vertical="bottom" textRotation="0" wrapText="false" indent="1"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5" fontId="15" fillId="4" borderId="2" xfId="0" applyFont="true" applyBorder="true" applyAlignment="true" applyProtection="false">
      <alignment horizontal="right" vertical="bottom" textRotation="0" wrapText="false" indent="0" shrinkToFit="false"/>
      <protection locked="true" hidden="false"/>
    </xf>
    <xf numFmtId="164" fontId="16" fillId="0" borderId="0" xfId="0" applyFont="true" applyBorder="true" applyAlignment="true" applyProtection="false">
      <alignment horizontal="general" vertical="top" textRotation="0" wrapText="true" indent="0" shrinkToFit="false"/>
      <protection locked="true" hidden="false"/>
    </xf>
    <xf numFmtId="164" fontId="17" fillId="2" borderId="0" xfId="0" applyFont="true" applyBorder="false" applyAlignment="true" applyProtection="false">
      <alignment horizontal="left" vertical="bottom" textRotation="0" wrapText="false" indent="1" shrinkToFit="false"/>
      <protection locked="true" hidden="false"/>
    </xf>
    <xf numFmtId="166" fontId="15" fillId="4" borderId="2" xfId="0" applyFont="true" applyBorder="true" applyAlignment="true" applyProtection="false">
      <alignment horizontal="right" vertical="bottom" textRotation="0" wrapText="false" indent="0" shrinkToFit="false"/>
      <protection locked="true" hidden="false"/>
    </xf>
    <xf numFmtId="164" fontId="18" fillId="2" borderId="0" xfId="0" applyFont="true" applyBorder="false" applyAlignment="true" applyProtection="false">
      <alignment horizontal="left" vertical="bottom" textRotation="0" wrapText="false" indent="1" shrinkToFit="false"/>
      <protection locked="true" hidden="false"/>
    </xf>
    <xf numFmtId="167" fontId="19" fillId="2" borderId="0" xfId="0" applyFont="true" applyBorder="true" applyAlignment="true" applyProtection="false">
      <alignment horizontal="left" vertical="center" textRotation="0" wrapText="false" indent="1" shrinkToFit="false"/>
      <protection locked="true" hidden="false"/>
    </xf>
    <xf numFmtId="164" fontId="20" fillId="2" borderId="0" xfId="0" applyFont="true" applyBorder="false" applyAlignment="true" applyProtection="false">
      <alignment horizontal="left" vertical="center" textRotation="0" wrapText="true" indent="0" shrinkToFit="false"/>
      <protection locked="true" hidden="false"/>
    </xf>
    <xf numFmtId="164" fontId="20" fillId="2" borderId="0" xfId="0" applyFont="true" applyBorder="false" applyAlignment="true" applyProtection="false">
      <alignment horizontal="right" vertical="center" textRotation="0" wrapText="true" indent="0" shrinkToFit="false"/>
      <protection locked="true" hidden="false"/>
    </xf>
    <xf numFmtId="164" fontId="18" fillId="2" borderId="3" xfId="0" applyFont="true" applyBorder="true" applyAlignment="true" applyProtection="false">
      <alignment horizontal="left" vertical="bottom" textRotation="0" wrapText="false" indent="1" shrinkToFit="false"/>
      <protection locked="true" hidden="false"/>
    </xf>
    <xf numFmtId="167" fontId="21" fillId="2" borderId="3" xfId="0" applyFont="true" applyBorder="true" applyAlignment="true" applyProtection="false">
      <alignment horizontal="right" vertical="bottom" textRotation="0" wrapText="false" indent="1" shrinkToFit="false"/>
      <protection locked="true" hidden="false"/>
    </xf>
    <xf numFmtId="168" fontId="7" fillId="0" borderId="2" xfId="0" applyFont="true" applyBorder="true" applyAlignment="true" applyProtection="false">
      <alignment horizontal="left" vertical="bottom" textRotation="0" wrapText="false" indent="1" shrinkToFit="false"/>
      <protection locked="true" hidden="false"/>
    </xf>
    <xf numFmtId="165" fontId="22" fillId="0" borderId="2" xfId="0" applyFont="true" applyBorder="true" applyAlignment="true" applyProtection="false">
      <alignment horizontal="right" vertical="bottom" textRotation="0" wrapText="false" indent="0" shrinkToFit="false"/>
      <protection locked="true" hidden="false"/>
    </xf>
    <xf numFmtId="169" fontId="23" fillId="0" borderId="2" xfId="0" applyFont="true" applyBorder="true" applyAlignment="true" applyProtection="false">
      <alignment horizontal="right" vertical="bottom" textRotation="0" wrapText="false" indent="0" shrinkToFit="false"/>
      <protection locked="true" hidden="false"/>
    </xf>
    <xf numFmtId="165" fontId="21" fillId="2" borderId="3" xfId="0" applyFont="true" applyBorder="true" applyAlignment="true" applyProtection="false">
      <alignment horizontal="right" vertical="bottom" textRotation="0" wrapText="false" indent="1" shrinkToFit="false"/>
      <protection locked="true" hidden="false"/>
    </xf>
    <xf numFmtId="170" fontId="21" fillId="2" borderId="3" xfId="0" applyFont="true" applyBorder="true" applyAlignment="true" applyProtection="false">
      <alignment horizontal="right" vertical="bottom" textRotation="0" wrapText="false" indent="1" shrinkToFit="false"/>
      <protection locked="true" hidden="false"/>
    </xf>
    <xf numFmtId="164" fontId="24" fillId="2" borderId="0" xfId="0" applyFont="true" applyBorder="true" applyAlignment="true" applyProtection="false">
      <alignment horizontal="left" vertical="bottom" textRotation="0" wrapText="false" indent="1" shrinkToFit="false"/>
      <protection locked="true" hidden="false"/>
    </xf>
    <xf numFmtId="164" fontId="7" fillId="6" borderId="0" xfId="0" applyFont="true" applyBorder="true" applyAlignment="true" applyProtection="false">
      <alignment horizontal="general" vertical="top" textRotation="0" wrapText="true" indent="0" shrinkToFit="false"/>
      <protection locked="true" hidden="false"/>
    </xf>
    <xf numFmtId="164" fontId="25" fillId="0" borderId="0" xfId="0" applyFont="true" applyBorder="true" applyAlignment="true" applyProtection="false">
      <alignment horizontal="general" vertical="top" textRotation="0" wrapText="true" indent="0" shrinkToFit="false"/>
      <protection locked="true" hidden="false"/>
    </xf>
    <xf numFmtId="164" fontId="26" fillId="0" borderId="0" xfId="0" applyFont="true" applyBorder="true" applyAlignment="true" applyProtection="false">
      <alignment horizontal="general" vertical="top" textRotation="0" wrapText="true" indent="0" shrinkToFit="false"/>
      <protection locked="true" hidden="false"/>
    </xf>
    <xf numFmtId="164" fontId="8" fillId="0" borderId="4" xfId="0" applyFont="true" applyBorder="true" applyAlignment="false" applyProtection="false">
      <alignment horizontal="general" vertical="bottom" textRotation="0" wrapText="false" indent="0" shrinkToFit="false"/>
      <protection locked="true" hidden="false"/>
    </xf>
    <xf numFmtId="165" fontId="10" fillId="0" borderId="4" xfId="0" applyFont="true" applyBorder="true" applyAlignment="true" applyProtection="false">
      <alignment horizontal="right" vertical="bottom" textRotation="0" wrapText="false" indent="0" shrinkToFit="false"/>
      <protection locked="true" hidden="false"/>
    </xf>
    <xf numFmtId="164" fontId="0" fillId="0" borderId="4" xfId="0" applyFont="false" applyBorder="true" applyAlignment="false" applyProtection="false">
      <alignment horizontal="general" vertical="bottom" textRotation="0" wrapText="false" indent="0" shrinkToFit="false"/>
      <protection locked="true" hidden="false"/>
    </xf>
    <xf numFmtId="168" fontId="7" fillId="0" borderId="0" xfId="0" applyFont="true" applyBorder="false" applyAlignment="true" applyProtection="false">
      <alignment horizontal="left" vertical="bottom" textRotation="0" wrapText="false" indent="1"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15" fillId="4" borderId="2" xfId="0" applyFont="true" applyBorder="true" applyAlignment="true" applyProtection="false">
      <alignment horizontal="right" vertical="bottom" textRotation="0" wrapText="true" indent="0" shrinkToFit="false"/>
      <protection locked="true" hidden="false"/>
    </xf>
    <xf numFmtId="167" fontId="8" fillId="0" borderId="2" xfId="0" applyFont="true" applyBorder="true" applyAlignment="true" applyProtection="false">
      <alignment horizontal="right" vertical="bottom" textRotation="0" wrapText="false" indent="0" shrinkToFit="false"/>
      <protection locked="true" hidden="false"/>
    </xf>
    <xf numFmtId="167" fontId="22" fillId="0" borderId="2" xfId="0" applyFont="true" applyBorder="true" applyAlignment="true" applyProtection="false">
      <alignment horizontal="right" vertical="bottom" textRotation="0" wrapText="false" indent="0" shrinkToFit="false"/>
      <protection locked="true" hidden="false"/>
    </xf>
    <xf numFmtId="170" fontId="22" fillId="0" borderId="2" xfId="0" applyFont="true" applyBorder="true" applyAlignment="true" applyProtection="false">
      <alignment horizontal="right" vertical="bottom" textRotation="0" wrapText="false" indent="0" shrinkToFit="false"/>
      <protection locked="true" hidden="false"/>
    </xf>
    <xf numFmtId="171" fontId="23" fillId="0" borderId="2" xfId="0" applyFont="true" applyBorder="true" applyAlignment="true" applyProtection="false">
      <alignment horizontal="right" vertical="bottom" textRotation="0" wrapText="false" indent="0" shrinkToFit="false"/>
      <protection locked="true" hidden="false"/>
    </xf>
    <xf numFmtId="164" fontId="20" fillId="2" borderId="0" xfId="0" applyFont="true" applyBorder="false" applyAlignment="false" applyProtection="false">
      <alignment horizontal="general" vertical="bottom" textRotation="0" wrapText="false" indent="0" shrinkToFit="false"/>
      <protection locked="true" hidden="false"/>
    </xf>
    <xf numFmtId="168" fontId="25" fillId="0" borderId="0" xfId="0" applyFont="true" applyBorder="false" applyAlignment="true" applyProtection="false">
      <alignment horizontal="left" vertical="bottom" textRotation="0" wrapText="false" indent="1" shrinkToFit="false"/>
      <protection locked="true" hidden="false"/>
    </xf>
    <xf numFmtId="169" fontId="16" fillId="0" borderId="0" xfId="0" applyFont="true" applyBorder="false" applyAlignment="false" applyProtection="false">
      <alignment horizontal="general" vertical="bottom" textRotation="0" wrapText="false" indent="0" shrinkToFit="false"/>
      <protection locked="true" hidden="false"/>
    </xf>
    <xf numFmtId="168" fontId="0" fillId="0" borderId="0" xfId="0" applyFont="false" applyBorder="false" applyAlignment="true" applyProtection="false">
      <alignment horizontal="left" vertical="bottom" textRotation="0" wrapText="false" indent="1" shrinkToFit="false"/>
      <protection locked="true" hidden="false"/>
    </xf>
    <xf numFmtId="169" fontId="22" fillId="0" borderId="2" xfId="0" applyFont="true" applyBorder="true" applyAlignment="true" applyProtection="false">
      <alignment horizontal="right" vertical="bottom" textRotation="0" wrapText="false" indent="0" shrinkToFit="false"/>
      <protection locked="true" hidden="false"/>
    </xf>
    <xf numFmtId="169" fontId="8" fillId="0" borderId="2" xfId="0" applyFont="true" applyBorder="true" applyAlignment="true" applyProtection="false">
      <alignment horizontal="right" vertical="bottom" textRotation="0" wrapText="false" indent="0" shrinkToFit="false"/>
      <protection locked="true" hidden="false"/>
    </xf>
    <xf numFmtId="165" fontId="8" fillId="0" borderId="2" xfId="0" applyFont="true" applyBorder="true" applyAlignment="true" applyProtection="false">
      <alignment horizontal="right" vertical="bottom" textRotation="0" wrapText="false" indent="0" shrinkToFit="false"/>
      <protection locked="true" hidden="false"/>
    </xf>
    <xf numFmtId="164" fontId="8" fillId="0" borderId="5" xfId="0" applyFont="true" applyBorder="true" applyAlignment="true" applyProtection="false">
      <alignment horizontal="general" vertical="top" textRotation="0" wrapText="true" indent="0" shrinkToFit="false"/>
      <protection locked="true" hidden="false"/>
    </xf>
    <xf numFmtId="164" fontId="7" fillId="0" borderId="5" xfId="0" applyFont="true" applyBorder="true" applyAlignment="true" applyProtection="false">
      <alignment horizontal="general" vertical="top" textRotation="0" wrapText="true" indent="0" shrinkToFit="false"/>
      <protection locked="true" hidden="false"/>
    </xf>
    <xf numFmtId="164" fontId="31" fillId="0" borderId="5" xfId="0" applyFont="true" applyBorder="true" applyAlignment="true" applyProtection="false">
      <alignment horizontal="general" vertical="top" textRotation="0" wrapText="true" indent="0" shrinkToFit="false"/>
      <protection locked="true" hidden="false"/>
    </xf>
    <xf numFmtId="164" fontId="32" fillId="0" borderId="0" xfId="0" applyFont="true" applyBorder="true" applyAlignment="true" applyProtection="false">
      <alignment horizontal="general" vertical="top" textRotation="0" wrapText="true" indent="0" shrinkToFit="false"/>
      <protection locked="true" hidden="false"/>
    </xf>
    <xf numFmtId="164" fontId="33"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center" textRotation="0" wrapText="true" indent="0" shrinkToFit="false"/>
      <protection locked="true" hidden="false"/>
    </xf>
    <xf numFmtId="169" fontId="22" fillId="0" borderId="2" xfId="0" applyFont="true" applyBorder="true" applyAlignment="true" applyProtection="false">
      <alignment horizontal="right" vertical="center" textRotation="0" wrapText="false" indent="0" shrinkToFit="false"/>
      <protection locked="true" hidden="false"/>
    </xf>
    <xf numFmtId="169" fontId="34" fillId="0" borderId="2" xfId="0" applyFont="true" applyBorder="true" applyAlignment="true" applyProtection="false">
      <alignment horizontal="right" vertical="center" textRotation="0" wrapText="false" indent="0" shrinkToFit="false"/>
      <protection locked="true" hidden="false"/>
    </xf>
    <xf numFmtId="164" fontId="23" fillId="0" borderId="2" xfId="0" applyFont="true" applyBorder="true" applyAlignment="true" applyProtection="false">
      <alignment horizontal="right" vertical="center" textRotation="0" wrapText="false" indent="0" shrinkToFit="false"/>
      <protection locked="true" hidden="false"/>
    </xf>
    <xf numFmtId="165" fontId="22" fillId="0" borderId="2" xfId="0" applyFont="true" applyBorder="true" applyAlignment="true" applyProtection="false">
      <alignment horizontal="right" vertical="center" textRotation="0" wrapText="false" indent="0" shrinkToFit="false"/>
      <protection locked="true" hidden="false"/>
    </xf>
    <xf numFmtId="165" fontId="34" fillId="0" borderId="2" xfId="0" applyFont="true" applyBorder="true" applyAlignment="true" applyProtection="false">
      <alignment horizontal="right" vertical="center" textRotation="0" wrapText="false" indent="0" shrinkToFit="false"/>
      <protection locked="true" hidden="false"/>
    </xf>
    <xf numFmtId="164" fontId="0" fillId="0" borderId="0" xfId="0" applyFont="false" applyBorder="false" applyAlignment="true" applyProtection="false">
      <alignment horizontal="right" vertical="center"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35" fillId="0" borderId="0" xfId="0" applyFont="true" applyBorder="false" applyAlignment="true" applyProtection="false">
      <alignment horizontal="right"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9">
    <dxf>
      <font>
        <name val="Arial"/>
        <charset val="1"/>
        <family val="0"/>
        <b val="1"/>
        <color rgb="FFFCA5A5"/>
        <sz val="26"/>
      </font>
    </dxf>
    <dxf>
      <font>
        <name val="Arial"/>
        <charset val="1"/>
        <family val="0"/>
        <b val="1"/>
        <color rgb="FFFCA5A5"/>
        <sz val="11"/>
      </font>
    </dxf>
    <dxf>
      <font>
        <name val="Arial"/>
        <charset val="1"/>
        <family val="0"/>
        <b val="1"/>
        <color rgb="FFB91C1C"/>
        <sz val="9"/>
      </font>
    </dxf>
    <dxf>
      <font>
        <name val="Arial"/>
        <charset val="1"/>
        <family val="0"/>
        <color rgb="FF0F766E"/>
        <sz val="9"/>
      </font>
    </dxf>
    <dxf>
      <font>
        <name val="Arial"/>
        <charset val="1"/>
        <family val="0"/>
        <color rgb="FFFCA5A5"/>
        <sz val="10"/>
      </font>
    </dxf>
    <dxf>
      <font>
        <name val="Arial"/>
        <charset val="1"/>
        <family val="0"/>
        <b val="1"/>
        <color rgb="FFB91C1C"/>
        <sz val="10"/>
      </font>
    </dxf>
    <dxf>
      <fill>
        <patternFill>
          <bgColor rgb="FFCCFBF1"/>
        </patternFill>
      </fill>
    </dxf>
    <dxf>
      <font>
        <name val="Arial"/>
        <charset val="1"/>
        <family val="0"/>
        <b val="1"/>
        <color rgb="FFB91C1C"/>
        <sz val="10"/>
      </font>
      <fill>
        <patternFill>
          <bgColor rgb="FFFEE2E2"/>
        </patternFill>
      </fill>
    </dxf>
    <dxf>
      <font>
        <name val="Arial"/>
        <charset val="1"/>
        <family val="0"/>
        <b val="1"/>
        <color rgb="FFB91C1C"/>
        <sz val="11"/>
      </font>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F766E"/>
      <rgbColor rgb="FFD9D9D9"/>
      <rgbColor rgb="FF878787"/>
      <rgbColor rgb="FF9999FF"/>
      <rgbColor rgb="FF993366"/>
      <rgbColor rgb="FFFEF9C3"/>
      <rgbColor rgb="FFCCFBF1"/>
      <rgbColor rgb="FF660066"/>
      <rgbColor rgb="FFFF8080"/>
      <rgbColor rgb="FF0066CC"/>
      <rgbColor rgb="FFCBD5E1"/>
      <rgbColor rgb="FF000080"/>
      <rgbColor rgb="FFFF00FF"/>
      <rgbColor rgb="FFFFFF00"/>
      <rgbColor rgb="FF00FFFF"/>
      <rgbColor rgb="FF800080"/>
      <rgbColor rgb="FF800000"/>
      <rgbColor rgb="FF008080"/>
      <rgbColor rgb="FF0000FF"/>
      <rgbColor rgb="FF00CCFF"/>
      <rgbColor rgb="FFE2E8F0"/>
      <rgbColor rgb="FFF8FAFC"/>
      <rgbColor rgb="FFFFFF99"/>
      <rgbColor rgb="FF99CCFF"/>
      <rgbColor rgb="FFFCA5A5"/>
      <rgbColor rgb="FFCC99FF"/>
      <rgbColor rgb="FFFEE2E2"/>
      <rgbColor rgb="FF2563EB"/>
      <rgbColor rgb="FF14B8A6"/>
      <rgbColor rgb="FF99CC00"/>
      <rgbColor rgb="FFFFCC00"/>
      <rgbColor rgb="FFFF9900"/>
      <rgbColor rgb="FFFF6600"/>
      <rgbColor rgb="FF64748B"/>
      <rgbColor rgb="FF94A3B8"/>
      <rgbColor rgb="FF003366"/>
      <rgbColor rgb="FF339966"/>
      <rgbColor rgb="FF0F172A"/>
      <rgbColor rgb="FF333300"/>
      <rgbColor rgb="FFB91C1C"/>
      <rgbColor rgb="FF993366"/>
      <rgbColor rgb="FF334155"/>
      <rgbColor rgb="FF1E293B"/>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sharedStrings" Target="sharedStrings.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Cumulative cash position</a:t>
            </a:r>
          </a:p>
        </c:rich>
      </c:tx>
      <c:overlay val="0"/>
      <c:spPr>
        <a:noFill/>
        <a:ln w="0">
          <a:noFill/>
        </a:ln>
      </c:spPr>
    </c:title>
    <c:autoTitleDeleted val="0"/>
    <c:plotArea>
      <c:scatterChart>
        <c:scatterStyle val="lineMarker"/>
        <c:varyColors val="0"/>
        <c:ser>
          <c:idx val="0"/>
          <c:order val="0"/>
          <c:tx>
            <c:strRef>
              <c:f>"Simple"</c:f>
              <c:strCache>
                <c:ptCount val="1"/>
                <c:pt idx="0">
                  <c:v>Simple</c:v>
                </c:pt>
              </c:strCache>
            </c:strRef>
          </c:tx>
          <c:spPr>
            <a:solidFill>
              <a:srgbClr val="2563eb"/>
            </a:solidFill>
            <a:ln w="28440">
              <a:solidFill>
                <a:srgbClr val="2563eb"/>
              </a:solidFill>
              <a:round/>
            </a:ln>
          </c:spPr>
          <c:marker>
            <c:symbol val="circle"/>
            <c:size val="5"/>
            <c:spPr>
              <a:solidFill>
                <a:srgbClr val="2563eb"/>
              </a:solidFill>
            </c:spPr>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xVal>
            <c:numRef>
              <c:f>'Recovery Chart'!$B$8:$B$38</c:f>
              <c:numCache>
                <c:formatCode>"Year "0</c:formatCode>
                <c:ptCount val="3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numCache>
            </c:numRef>
          </c:xVal>
          <c:yVal>
            <c:numRef>
              <c:f>'Recovery Chart'!$C$8:$C$38</c:f>
              <c:numCache>
                <c:formatCode>#,##0.00;[RED]\-#,##0.00;\-</c:formatCode>
                <c:ptCount val="31"/>
                <c:pt idx="0">
                  <c:v>-20000</c:v>
                </c:pt>
                <c:pt idx="1">
                  <c:v>-12000</c:v>
                </c:pt>
                <c:pt idx="2">
                  <c:v>-4000</c:v>
                </c:pt>
                <c:pt idx="3">
                  <c:v>4000</c:v>
                </c:pt>
                <c:pt idx="4">
                  <c:v>4000</c:v>
                </c:pt>
                <c:pt idx="5">
                  <c:v>4000</c:v>
                </c:pt>
                <c:pt idx="6">
                  <c:v>4000</c:v>
                </c:pt>
                <c:pt idx="7">
                  <c:v>4000</c:v>
                </c:pt>
                <c:pt idx="8">
                  <c:v>4000</c:v>
                </c:pt>
                <c:pt idx="9">
                  <c:v>4000</c:v>
                </c:pt>
                <c:pt idx="10">
                  <c:v>4000</c:v>
                </c:pt>
                <c:pt idx="11">
                  <c:v>4000</c:v>
                </c:pt>
                <c:pt idx="12">
                  <c:v>4000</c:v>
                </c:pt>
                <c:pt idx="13">
                  <c:v>4000</c:v>
                </c:pt>
                <c:pt idx="14">
                  <c:v>4000</c:v>
                </c:pt>
                <c:pt idx="15">
                  <c:v>4000</c:v>
                </c:pt>
                <c:pt idx="16">
                  <c:v>4000</c:v>
                </c:pt>
                <c:pt idx="17">
                  <c:v>4000</c:v>
                </c:pt>
                <c:pt idx="18">
                  <c:v>4000</c:v>
                </c:pt>
                <c:pt idx="19">
                  <c:v>4000</c:v>
                </c:pt>
                <c:pt idx="20">
                  <c:v>4000</c:v>
                </c:pt>
                <c:pt idx="21">
                  <c:v>4000</c:v>
                </c:pt>
                <c:pt idx="22">
                  <c:v>4000</c:v>
                </c:pt>
                <c:pt idx="23">
                  <c:v>4000</c:v>
                </c:pt>
                <c:pt idx="24">
                  <c:v>4000</c:v>
                </c:pt>
                <c:pt idx="25">
                  <c:v>4000</c:v>
                </c:pt>
                <c:pt idx="26">
                  <c:v>4000</c:v>
                </c:pt>
                <c:pt idx="27">
                  <c:v>4000</c:v>
                </c:pt>
                <c:pt idx="28">
                  <c:v>4000</c:v>
                </c:pt>
                <c:pt idx="29">
                  <c:v>4000</c:v>
                </c:pt>
                <c:pt idx="30">
                  <c:v>4000</c:v>
                </c:pt>
              </c:numCache>
            </c:numRef>
          </c:yVal>
          <c:smooth val="0"/>
        </c:ser>
        <c:ser>
          <c:idx val="1"/>
          <c:order val="1"/>
          <c:tx>
            <c:strRef>
              <c:f>"Discounted"</c:f>
              <c:strCache>
                <c:ptCount val="1"/>
                <c:pt idx="0">
                  <c:v>Discounted</c:v>
                </c:pt>
              </c:strCache>
            </c:strRef>
          </c:tx>
          <c:spPr>
            <a:solidFill>
              <a:srgbClr val="14b8a6"/>
            </a:solidFill>
            <a:ln w="28440">
              <a:solidFill>
                <a:srgbClr val="14b8a6"/>
              </a:solidFill>
              <a:round/>
            </a:ln>
          </c:spPr>
          <c:marker>
            <c:symbol val="circle"/>
            <c:size val="5"/>
            <c:spPr>
              <a:solidFill>
                <a:srgbClr val="14b8a6"/>
              </a:solidFill>
            </c:spPr>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xVal>
            <c:numRef>
              <c:f>'Recovery Chart'!$B$8:$B$38</c:f>
              <c:numCache>
                <c:formatCode>"Year "0</c:formatCode>
                <c:ptCount val="3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numCache>
            </c:numRef>
          </c:xVal>
          <c:yVal>
            <c:numRef>
              <c:f>'Recovery Chart'!$D$8:$D$38</c:f>
              <c:numCache>
                <c:formatCode>#,##0.00;[RED]\-#,##0.00;\-</c:formatCode>
                <c:ptCount val="31"/>
                <c:pt idx="0">
                  <c:v>-20000</c:v>
                </c:pt>
                <c:pt idx="1">
                  <c:v>-12727.2727272727</c:v>
                </c:pt>
                <c:pt idx="2">
                  <c:v>-6115.70247933885</c:v>
                </c:pt>
                <c:pt idx="3">
                  <c:v>-105.184072126223</c:v>
                </c:pt>
                <c:pt idx="4">
                  <c:v>-105.184072126223</c:v>
                </c:pt>
                <c:pt idx="5">
                  <c:v>-105.184072126223</c:v>
                </c:pt>
                <c:pt idx="6">
                  <c:v>-105.184072126223</c:v>
                </c:pt>
                <c:pt idx="7">
                  <c:v>-105.184072126223</c:v>
                </c:pt>
                <c:pt idx="8">
                  <c:v>-105.184072126223</c:v>
                </c:pt>
                <c:pt idx="9">
                  <c:v>-105.184072126223</c:v>
                </c:pt>
                <c:pt idx="10">
                  <c:v>-105.184072126223</c:v>
                </c:pt>
                <c:pt idx="11">
                  <c:v>-105.184072126223</c:v>
                </c:pt>
                <c:pt idx="12">
                  <c:v>-105.184072126223</c:v>
                </c:pt>
                <c:pt idx="13">
                  <c:v>-105.184072126223</c:v>
                </c:pt>
                <c:pt idx="14">
                  <c:v>-105.184072126223</c:v>
                </c:pt>
                <c:pt idx="15">
                  <c:v>-105.184072126223</c:v>
                </c:pt>
                <c:pt idx="16">
                  <c:v>-105.184072126223</c:v>
                </c:pt>
                <c:pt idx="17">
                  <c:v>-105.184072126223</c:v>
                </c:pt>
                <c:pt idx="18">
                  <c:v>-105.184072126223</c:v>
                </c:pt>
                <c:pt idx="19">
                  <c:v>-105.184072126223</c:v>
                </c:pt>
                <c:pt idx="20">
                  <c:v>-105.184072126223</c:v>
                </c:pt>
                <c:pt idx="21">
                  <c:v>-105.184072126223</c:v>
                </c:pt>
                <c:pt idx="22">
                  <c:v>-105.184072126223</c:v>
                </c:pt>
                <c:pt idx="23">
                  <c:v>-105.184072126223</c:v>
                </c:pt>
                <c:pt idx="24">
                  <c:v>-105.184072126223</c:v>
                </c:pt>
                <c:pt idx="25">
                  <c:v>-105.184072126223</c:v>
                </c:pt>
                <c:pt idx="26">
                  <c:v>-105.184072126223</c:v>
                </c:pt>
                <c:pt idx="27">
                  <c:v>-105.184072126223</c:v>
                </c:pt>
                <c:pt idx="28">
                  <c:v>-105.184072126223</c:v>
                </c:pt>
                <c:pt idx="29">
                  <c:v>-105.184072126223</c:v>
                </c:pt>
                <c:pt idx="30">
                  <c:v>-105.184072126223</c:v>
                </c:pt>
              </c:numCache>
            </c:numRef>
          </c:yVal>
          <c:smooth val="0"/>
        </c:ser>
        <c:axId val="86893628"/>
        <c:axId val="98018332"/>
      </c:scatterChart>
      <c:valAx>
        <c:axId val="86893628"/>
        <c:scaling>
          <c:orientation val="minMax"/>
        </c:scaling>
        <c:delete val="0"/>
        <c:axPos val="b"/>
        <c:title>
          <c:tx>
            <c:rich>
              <a:bodyPr rot="0"/>
              <a:lstStyle/>
              <a:p>
                <a:pPr>
                  <a:defRPr b="1" sz="1000" spc="-1" strike="noStrike">
                    <a:solidFill>
                      <a:srgbClr val="000000"/>
                    </a:solidFill>
                    <a:latin typeface="Calibri"/>
                  </a:defRPr>
                </a:pPr>
                <a:r>
                  <a:rPr b="1" sz="1000" spc="-1" strike="noStrike">
                    <a:solidFill>
                      <a:srgbClr val="000000"/>
                    </a:solidFill>
                    <a:latin typeface="Calibri"/>
                  </a:rPr>
                  <a:t>Year</a:t>
                </a:r>
              </a:p>
            </c:rich>
          </c:tx>
          <c:overlay val="0"/>
          <c:spPr>
            <a:noFill/>
            <a:ln w="0">
              <a:noFill/>
            </a:ln>
          </c:spPr>
        </c:title>
        <c:numFmt formatCode="0" sourceLinked="0"/>
        <c:majorTickMark val="none"/>
        <c:minorTickMark val="none"/>
        <c:tickLblPos val="low"/>
        <c:spPr>
          <a:ln w="9360">
            <a:solidFill>
              <a:srgbClr val="878787"/>
            </a:solidFill>
            <a:round/>
          </a:ln>
        </c:spPr>
        <c:txPr>
          <a:bodyPr/>
          <a:lstStyle/>
          <a:p>
            <a:pPr>
              <a:defRPr b="0" sz="1000" spc="-1" strike="noStrike">
                <a:solidFill>
                  <a:srgbClr val="000000"/>
                </a:solidFill>
                <a:latin typeface="Calibri"/>
              </a:defRPr>
            </a:pPr>
          </a:p>
        </c:txPr>
        <c:crossAx val="98018332"/>
        <c:crosses val="autoZero"/>
        <c:crossBetween val="midCat"/>
      </c:valAx>
      <c:valAx>
        <c:axId val="98018332"/>
        <c:scaling>
          <c:orientation val="minMax"/>
        </c:scaling>
        <c:delete val="0"/>
        <c:axPos val="l"/>
        <c:majorGridlines>
          <c:spPr>
            <a:ln w="9360">
              <a:solidFill>
                <a:srgbClr val="878787"/>
              </a:solidFill>
              <a:round/>
            </a:ln>
          </c:spPr>
        </c:majorGridlines>
        <c:title>
          <c:tx>
            <c:rich>
              <a:bodyPr rot="-5400000"/>
              <a:lstStyle/>
              <a:p>
                <a:pPr>
                  <a:defRPr b="1" sz="1000" spc="-1" strike="noStrike">
                    <a:solidFill>
                      <a:srgbClr val="000000"/>
                    </a:solidFill>
                    <a:latin typeface="Calibri"/>
                  </a:defRPr>
                </a:pPr>
                <a:r>
                  <a:rPr b="1" sz="1000" spc="-1" strike="noStrike">
                    <a:solidFill>
                      <a:srgbClr val="000000"/>
                    </a:solidFill>
                    <a:latin typeface="Calibri"/>
                  </a:rPr>
                  <a:t>Cash position</a:t>
                </a:r>
              </a:p>
            </c:rich>
          </c:tx>
          <c:overlay val="0"/>
          <c:spPr>
            <a:noFill/>
            <a:ln w="0">
              <a:noFill/>
            </a:ln>
          </c:spPr>
        </c:title>
        <c:numFmt formatCode="#,##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86893628"/>
        <c:crosses val="autoZero"/>
        <c:crossBetween val="midCat"/>
      </c:valAx>
      <c:spPr>
        <a:noFill/>
        <a:ln w="0">
          <a:noFill/>
        </a:ln>
      </c:spPr>
    </c:plotArea>
    <c:legend>
      <c:legendPos val="b"/>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drawings/_rels/drawing1.xml.rels><?xml version="1.0" encoding="UTF-8"?>
<Relationships xmlns="http://schemas.openxmlformats.org/package/2006/relationships"><Relationship Id="rId1" Type="http://schemas.openxmlformats.org/officeDocument/2006/relationships/chart" Target="../charts/chart1.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5</xdr:col>
      <xdr:colOff>0</xdr:colOff>
      <xdr:row>6</xdr:row>
      <xdr:rowOff>0</xdr:rowOff>
    </xdr:from>
    <xdr:to>
      <xdr:col>13</xdr:col>
      <xdr:colOff>120960</xdr:colOff>
      <xdr:row>21</xdr:row>
      <xdr:rowOff>39960</xdr:rowOff>
    </xdr:to>
    <xdr:graphicFrame>
      <xdr:nvGraphicFramePr>
        <xdr:cNvPr id="0" name="Chart 1"/>
        <xdr:cNvGraphicFramePr/>
      </xdr:nvGraphicFramePr>
      <xdr:xfrm>
        <a:off x="3735720" y="1047600"/>
        <a:ext cx="5759640" cy="305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
</Relationships>
</file>

<file path=xl/worksheets/_rels/sheet2.xml.rels><?xml version="1.0" encoding="UTF-8"?>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1.vml"/>
</Relationships>
</file>

<file path=xl/worksheets/_rels/sheet3.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F172A"/>
    <pageSetUpPr fitToPage="true"/>
  </sheetPr>
  <dimension ref="A1:D4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30"/>
    <col collapsed="false" customWidth="true" hidden="false" outlineLevel="0" max="3" min="3" style="0" width="74"/>
    <col collapsed="false" customWidth="true" hidden="false" outlineLevel="0" max="4" min="4" style="0" width="3"/>
  </cols>
  <sheetData>
    <row r="1" customFormat="false" ht="7.5" hidden="false" customHeight="true" outlineLevel="0" collapsed="false">
      <c r="A1" s="1"/>
      <c r="B1" s="1"/>
      <c r="C1" s="1"/>
      <c r="D1" s="1"/>
    </row>
    <row r="2" customFormat="false" ht="30" hidden="false" customHeight="true" outlineLevel="0" collapsed="false">
      <c r="A2" s="1"/>
      <c r="B2" s="2" t="s">
        <v>0</v>
      </c>
      <c r="C2" s="1"/>
      <c r="D2" s="1"/>
    </row>
    <row r="3" customFormat="false" ht="19.5" hidden="false" customHeight="true" outlineLevel="0" collapsed="false">
      <c r="A3" s="1"/>
      <c r="B3" s="3" t="s">
        <v>1</v>
      </c>
      <c r="C3" s="1"/>
      <c r="D3" s="1"/>
    </row>
    <row r="4" customFormat="false" ht="7.5" hidden="false" customHeight="true" outlineLevel="0" collapsed="false">
      <c r="A4" s="1"/>
      <c r="B4" s="1"/>
      <c r="C4" s="1"/>
      <c r="D4" s="1"/>
    </row>
    <row r="5" customFormat="false" ht="3" hidden="false" customHeight="true" outlineLevel="0" collapsed="false">
      <c r="A5" s="4"/>
      <c r="B5" s="4"/>
      <c r="C5" s="4"/>
      <c r="D5" s="4"/>
    </row>
    <row r="7" customFormat="false" ht="19.5" hidden="false" customHeight="true" outlineLevel="0" collapsed="false">
      <c r="B7" s="5" t="s">
        <v>2</v>
      </c>
      <c r="C7" s="6"/>
    </row>
    <row r="8" customFormat="false" ht="45.75" hidden="false" customHeight="true" outlineLevel="0" collapsed="false">
      <c r="B8" s="7" t="s">
        <v>3</v>
      </c>
      <c r="C8" s="7"/>
    </row>
    <row r="10" customFormat="false" ht="19.5" hidden="false" customHeight="true" outlineLevel="0" collapsed="false">
      <c r="B10" s="5" t="s">
        <v>4</v>
      </c>
      <c r="C10" s="6"/>
    </row>
    <row r="11" customFormat="false" ht="18" hidden="false" customHeight="true" outlineLevel="0" collapsed="false">
      <c r="B11" s="8" t="s">
        <v>5</v>
      </c>
      <c r="C11" s="9" t="s">
        <v>6</v>
      </c>
    </row>
    <row r="12" customFormat="false" ht="18" hidden="false" customHeight="true" outlineLevel="0" collapsed="false">
      <c r="B12" s="8" t="s">
        <v>7</v>
      </c>
      <c r="C12" s="9" t="s">
        <v>8</v>
      </c>
    </row>
    <row r="13" customFormat="false" ht="30" hidden="false" customHeight="true" outlineLevel="0" collapsed="false">
      <c r="B13" s="8" t="s">
        <v>9</v>
      </c>
      <c r="C13" s="9" t="s">
        <v>10</v>
      </c>
    </row>
    <row r="14" customFormat="false" ht="30" hidden="false" customHeight="true" outlineLevel="0" collapsed="false">
      <c r="B14" s="8" t="s">
        <v>11</v>
      </c>
      <c r="C14" s="9" t="s">
        <v>12</v>
      </c>
    </row>
    <row r="15" customFormat="false" ht="30" hidden="false" customHeight="true" outlineLevel="0" collapsed="false">
      <c r="B15" s="8" t="s">
        <v>13</v>
      </c>
      <c r="C15" s="9" t="s">
        <v>14</v>
      </c>
    </row>
    <row r="17" customFormat="false" ht="19.5" hidden="false" customHeight="true" outlineLevel="0" collapsed="false">
      <c r="B17" s="5" t="s">
        <v>15</v>
      </c>
      <c r="C17" s="6"/>
    </row>
    <row r="18" customFormat="false" ht="18" hidden="false" customHeight="true" outlineLevel="0" collapsed="false">
      <c r="B18" s="8" t="s">
        <v>16</v>
      </c>
      <c r="C18" s="9" t="s">
        <v>17</v>
      </c>
    </row>
    <row r="19" customFormat="false" ht="30" hidden="false" customHeight="true" outlineLevel="0" collapsed="false">
      <c r="B19" s="8" t="s">
        <v>18</v>
      </c>
      <c r="C19" s="9" t="s">
        <v>19</v>
      </c>
    </row>
    <row r="20" customFormat="false" ht="30" hidden="false" customHeight="true" outlineLevel="0" collapsed="false">
      <c r="B20" s="8" t="s">
        <v>20</v>
      </c>
      <c r="C20" s="9" t="s">
        <v>21</v>
      </c>
    </row>
    <row r="22" customFormat="false" ht="19.5" hidden="false" customHeight="true" outlineLevel="0" collapsed="false">
      <c r="B22" s="5" t="s">
        <v>22</v>
      </c>
      <c r="C22" s="6"/>
    </row>
    <row r="23" customFormat="false" ht="19.5" hidden="false" customHeight="true" outlineLevel="0" collapsed="false">
      <c r="B23" s="10" t="s">
        <v>23</v>
      </c>
      <c r="C23" s="9" t="s">
        <v>24</v>
      </c>
    </row>
    <row r="24" customFormat="false" ht="19.5" hidden="false" customHeight="true" outlineLevel="0" collapsed="false">
      <c r="B24" s="11" t="s">
        <v>25</v>
      </c>
      <c r="C24" s="9" t="s">
        <v>26</v>
      </c>
    </row>
    <row r="25" customFormat="false" ht="19.5" hidden="false" customHeight="true" outlineLevel="0" collapsed="false">
      <c r="B25" s="12" t="s">
        <v>27</v>
      </c>
      <c r="C25" s="9" t="s">
        <v>28</v>
      </c>
    </row>
    <row r="26" customFormat="false" ht="19.5" hidden="false" customHeight="true" outlineLevel="0" collapsed="false">
      <c r="B26" s="13" t="s">
        <v>29</v>
      </c>
      <c r="C26" s="9" t="s">
        <v>30</v>
      </c>
    </row>
    <row r="28" customFormat="false" ht="19.5" hidden="false" customHeight="true" outlineLevel="0" collapsed="false">
      <c r="B28" s="5" t="s">
        <v>31</v>
      </c>
      <c r="C28" s="6"/>
    </row>
    <row r="29" customFormat="false" ht="30" hidden="false" customHeight="true" outlineLevel="0" collapsed="false">
      <c r="B29" s="8" t="s">
        <v>32</v>
      </c>
      <c r="C29" s="9" t="s">
        <v>33</v>
      </c>
    </row>
    <row r="30" customFormat="false" ht="30" hidden="false" customHeight="true" outlineLevel="0" collapsed="false">
      <c r="B30" s="8" t="s">
        <v>34</v>
      </c>
      <c r="C30" s="9" t="s">
        <v>35</v>
      </c>
    </row>
    <row r="31" customFormat="false" ht="30" hidden="false" customHeight="true" outlineLevel="0" collapsed="false">
      <c r="B31" s="8" t="s">
        <v>36</v>
      </c>
      <c r="C31" s="9" t="s">
        <v>37</v>
      </c>
    </row>
    <row r="32" customFormat="false" ht="18" hidden="false" customHeight="true" outlineLevel="0" collapsed="false">
      <c r="B32" s="8" t="s">
        <v>38</v>
      </c>
      <c r="C32" s="9" t="s">
        <v>39</v>
      </c>
    </row>
    <row r="34" customFormat="false" ht="19.5" hidden="false" customHeight="true" outlineLevel="0" collapsed="false">
      <c r="B34" s="5" t="s">
        <v>40</v>
      </c>
      <c r="C34" s="6"/>
    </row>
    <row r="35" customFormat="false" ht="18" hidden="false" customHeight="true" outlineLevel="0" collapsed="false">
      <c r="B35" s="7" t="s">
        <v>41</v>
      </c>
      <c r="C35" s="7"/>
    </row>
    <row r="36" customFormat="false" ht="30" hidden="false" customHeight="true" outlineLevel="0" collapsed="false">
      <c r="B36" s="7" t="s">
        <v>42</v>
      </c>
      <c r="C36" s="7"/>
    </row>
    <row r="37" customFormat="false" ht="18" hidden="false" customHeight="true" outlineLevel="0" collapsed="false">
      <c r="B37" s="7" t="s">
        <v>43</v>
      </c>
      <c r="C37" s="7"/>
    </row>
    <row r="38" customFormat="false" ht="18" hidden="false" customHeight="true" outlineLevel="0" collapsed="false">
      <c r="B38" s="7" t="s">
        <v>44</v>
      </c>
      <c r="C38" s="7"/>
    </row>
    <row r="39" customFormat="false" ht="18" hidden="false" customHeight="true" outlineLevel="0" collapsed="false">
      <c r="B39" s="7" t="s">
        <v>45</v>
      </c>
      <c r="C39" s="7"/>
    </row>
    <row r="41" customFormat="false" ht="19.5" hidden="false" customHeight="true" outlineLevel="0" collapsed="false">
      <c r="B41" s="5" t="s">
        <v>46</v>
      </c>
      <c r="C41" s="6"/>
    </row>
    <row r="42" customFormat="false" ht="18" hidden="false" customHeight="true" outlineLevel="0" collapsed="false">
      <c r="B42" s="14" t="s">
        <v>47</v>
      </c>
      <c r="C42" s="9" t="s">
        <v>48</v>
      </c>
    </row>
    <row r="43" customFormat="false" ht="18" hidden="false" customHeight="true" outlineLevel="0" collapsed="false">
      <c r="B43" s="14" t="s">
        <v>49</v>
      </c>
      <c r="C43" s="9" t="s">
        <v>50</v>
      </c>
    </row>
    <row r="44" customFormat="false" ht="18" hidden="false" customHeight="true" outlineLevel="0" collapsed="false">
      <c r="B44" s="14" t="s">
        <v>51</v>
      </c>
      <c r="C44" s="9" t="s">
        <v>52</v>
      </c>
    </row>
    <row r="45" customFormat="false" ht="18" hidden="false" customHeight="true" outlineLevel="0" collapsed="false">
      <c r="B45" s="14" t="s">
        <v>53</v>
      </c>
      <c r="C45" s="9" t="s">
        <v>54</v>
      </c>
    </row>
    <row r="46" customFormat="false" ht="18" hidden="false" customHeight="true" outlineLevel="0" collapsed="false">
      <c r="B46" s="14" t="s">
        <v>55</v>
      </c>
      <c r="C46" s="9" t="s">
        <v>56</v>
      </c>
    </row>
    <row r="47" customFormat="false" ht="18" hidden="false" customHeight="true" outlineLevel="0" collapsed="false">
      <c r="B47" s="14" t="s">
        <v>57</v>
      </c>
      <c r="C47" s="9" t="s">
        <v>58</v>
      </c>
    </row>
    <row r="49" customFormat="false" ht="30" hidden="false" customHeight="true" outlineLevel="0" collapsed="false">
      <c r="B49" s="15" t="s">
        <v>59</v>
      </c>
      <c r="C49" s="15"/>
    </row>
  </sheetData>
  <mergeCells count="7">
    <mergeCell ref="B8:C8"/>
    <mergeCell ref="B35:C35"/>
    <mergeCell ref="B36:C36"/>
    <mergeCell ref="B37:C37"/>
    <mergeCell ref="B38:C38"/>
    <mergeCell ref="B39:C39"/>
    <mergeCell ref="B49:C49"/>
  </mergeCells>
  <hyperlinks>
    <hyperlink ref="B42" location="'Payback Calculator'!A1" display="Payback Calculator"/>
    <hyperlink ref="B43" location="'Recovery Chart'!A1" display="Recovery Chart"/>
    <hyperlink ref="B44" location="'Compare Projects'!A1" display="Compare Projects"/>
    <hyperlink ref="B45" location="'Worked Examples'!A1" display="Worked Examples"/>
    <hyperlink ref="B46" location="'Formula Guide'!A1" display="Formula Guide"/>
    <hyperlink ref="B47" location="'Checks'!A1" display="Checks"/>
  </hyperlinks>
  <printOptions headings="false" gridLines="false" gridLinesSet="true" horizontalCentered="true" verticalCentered="false"/>
  <pageMargins left="0.5" right="0.5" top="1" bottom="1"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2563EB"/>
    <pageSetUpPr fitToPage="true"/>
  </sheetPr>
  <dimension ref="A1:L46"/>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pane xSplit="0" ySplit="5" topLeftCell="A6"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11"/>
    <col collapsed="false" customWidth="true" hidden="false" outlineLevel="0" max="4" min="3" style="0" width="15"/>
    <col collapsed="false" customWidth="true" hidden="false" outlineLevel="0" max="5" min="5" style="0" width="13"/>
    <col collapsed="false" customWidth="true" hidden="false" outlineLevel="0" max="8" min="6" style="0" width="15"/>
    <col collapsed="false" customWidth="true" hidden="false" outlineLevel="0" max="9" min="9" style="0" width="3"/>
    <col collapsed="false" customWidth="true" hidden="false" outlineLevel="0" max="10" min="10" style="0" width="38"/>
    <col collapsed="false" customWidth="true" hidden="false" outlineLevel="0" max="11" min="11" style="0" width="20"/>
    <col collapsed="false" customWidth="true" hidden="false" outlineLevel="0" max="12" min="12" style="0" width="3"/>
  </cols>
  <sheetData>
    <row r="1" customFormat="false" ht="7.5" hidden="false" customHeight="true" outlineLevel="0" collapsed="false">
      <c r="A1" s="1"/>
      <c r="B1" s="1"/>
      <c r="C1" s="1"/>
      <c r="D1" s="1"/>
      <c r="E1" s="1"/>
      <c r="F1" s="1"/>
      <c r="G1" s="1"/>
      <c r="H1" s="1"/>
      <c r="I1" s="1"/>
      <c r="J1" s="1"/>
      <c r="K1" s="1"/>
      <c r="L1" s="1"/>
    </row>
    <row r="2" customFormat="false" ht="30" hidden="false" customHeight="true" outlineLevel="0" collapsed="false">
      <c r="A2" s="1"/>
      <c r="B2" s="2" t="s">
        <v>47</v>
      </c>
      <c r="C2" s="1"/>
      <c r="D2" s="1"/>
      <c r="E2" s="1"/>
      <c r="F2" s="1"/>
      <c r="G2" s="1"/>
      <c r="H2" s="1"/>
      <c r="I2" s="1"/>
      <c r="J2" s="1"/>
      <c r="K2" s="1"/>
      <c r="L2" s="1"/>
    </row>
    <row r="3" customFormat="false" ht="19.5" hidden="false" customHeight="true" outlineLevel="0" collapsed="false">
      <c r="A3" s="1"/>
      <c r="B3" s="3" t="s">
        <v>60</v>
      </c>
      <c r="C3" s="1"/>
      <c r="D3" s="1"/>
      <c r="E3" s="1"/>
      <c r="F3" s="1"/>
      <c r="G3" s="1"/>
      <c r="H3" s="1"/>
      <c r="I3" s="1"/>
      <c r="J3" s="1"/>
      <c r="K3" s="1"/>
      <c r="L3" s="1"/>
    </row>
    <row r="4" customFormat="false" ht="7.5" hidden="false" customHeight="true" outlineLevel="0" collapsed="false">
      <c r="A4" s="1"/>
      <c r="B4" s="1"/>
      <c r="C4" s="1"/>
      <c r="D4" s="1"/>
      <c r="E4" s="1"/>
      <c r="F4" s="1"/>
      <c r="G4" s="1"/>
      <c r="H4" s="1"/>
      <c r="I4" s="1"/>
      <c r="J4" s="1"/>
      <c r="K4" s="1"/>
      <c r="L4" s="1"/>
    </row>
    <row r="5" customFormat="false" ht="3" hidden="false" customHeight="true" outlineLevel="0" collapsed="false">
      <c r="A5" s="4"/>
      <c r="B5" s="4"/>
      <c r="C5" s="4"/>
      <c r="D5" s="4"/>
      <c r="E5" s="4"/>
      <c r="F5" s="4"/>
      <c r="G5" s="4"/>
      <c r="H5" s="4"/>
      <c r="I5" s="4"/>
      <c r="J5" s="4"/>
      <c r="K5" s="4"/>
      <c r="L5" s="4"/>
    </row>
    <row r="7" customFormat="false" ht="19.5" hidden="false" customHeight="true" outlineLevel="0" collapsed="false">
      <c r="B7" s="5" t="s">
        <v>61</v>
      </c>
      <c r="C7" s="6"/>
      <c r="D7" s="6"/>
      <c r="E7" s="6"/>
      <c r="F7" s="6"/>
      <c r="G7" s="6"/>
      <c r="H7" s="6"/>
      <c r="J7" s="16"/>
      <c r="K7" s="17"/>
    </row>
    <row r="8" customFormat="false" ht="15" hidden="false" customHeight="true" outlineLevel="0" collapsed="false">
      <c r="B8" s="18" t="s">
        <v>16</v>
      </c>
      <c r="D8" s="19" t="n">
        <v>20000</v>
      </c>
      <c r="E8" s="20" t="s">
        <v>62</v>
      </c>
      <c r="F8" s="20"/>
      <c r="G8" s="20"/>
      <c r="H8" s="20"/>
      <c r="J8" s="21" t="s">
        <v>63</v>
      </c>
      <c r="K8" s="17"/>
    </row>
    <row r="9" customFormat="false" ht="15" hidden="false" customHeight="false" outlineLevel="0" collapsed="false">
      <c r="J9" s="16"/>
      <c r="K9" s="17"/>
    </row>
    <row r="10" customFormat="false" ht="15" hidden="false" customHeight="true" outlineLevel="0" collapsed="false">
      <c r="B10" s="18" t="s">
        <v>64</v>
      </c>
      <c r="D10" s="22" t="n">
        <v>0.1</v>
      </c>
      <c r="E10" s="20" t="s">
        <v>65</v>
      </c>
      <c r="F10" s="20"/>
      <c r="G10" s="20"/>
      <c r="H10" s="20"/>
      <c r="J10" s="23" t="s">
        <v>66</v>
      </c>
      <c r="K10" s="17"/>
    </row>
    <row r="11" customFormat="false" ht="15" hidden="false" customHeight="false" outlineLevel="0" collapsed="false">
      <c r="J11" s="24" t="n">
        <f aca="false">IF(NOT(AND(COUNT(Cash_Flows)&gt;0,N(Initial_Investment)&gt;0)),"—",IF(COUNT(Payback_Points)=0,"Not recovered",SUM(Payback_Points)))</f>
        <v>2.5</v>
      </c>
      <c r="K11" s="24"/>
    </row>
    <row r="12" customFormat="false" ht="19.5" hidden="false" customHeight="true" outlineLevel="0" collapsed="false">
      <c r="B12" s="5" t="s">
        <v>67</v>
      </c>
      <c r="C12" s="6"/>
      <c r="D12" s="6"/>
      <c r="E12" s="6"/>
      <c r="F12" s="6"/>
      <c r="G12" s="6"/>
      <c r="H12" s="6"/>
      <c r="J12" s="24"/>
      <c r="K12" s="24"/>
    </row>
    <row r="13" customFormat="false" ht="30" hidden="false" customHeight="true" outlineLevel="0" collapsed="false">
      <c r="B13" s="25" t="s">
        <v>68</v>
      </c>
      <c r="C13" s="26" t="s">
        <v>69</v>
      </c>
      <c r="D13" s="26" t="s">
        <v>70</v>
      </c>
      <c r="E13" s="26" t="s">
        <v>71</v>
      </c>
      <c r="F13" s="26" t="s">
        <v>72</v>
      </c>
      <c r="G13" s="26" t="s">
        <v>73</v>
      </c>
      <c r="H13" s="26" t="s">
        <v>74</v>
      </c>
      <c r="J13" s="16"/>
      <c r="K13" s="17"/>
    </row>
    <row r="14" customFormat="false" ht="15" hidden="false" customHeight="false" outlineLevel="0" collapsed="false">
      <c r="J14" s="27" t="s">
        <v>34</v>
      </c>
      <c r="K14" s="28" t="str">
        <f aca="false">IF(NOT(AND(COUNT(Cash_Flows)&gt;0,N(Initial_Investment)&gt;0)),"—",IF(NOT(N(Discount_Rate)&gt;-1),"—",IF(COUNT(DPayback_Points)=0,"Not recovered",SUM(DPayback_Points))))</f>
        <v>Not recovered</v>
      </c>
    </row>
    <row r="15" customFormat="false" ht="15" hidden="false" customHeight="false" outlineLevel="0" collapsed="false">
      <c r="B15" s="29" t="n">
        <v>1</v>
      </c>
      <c r="C15" s="19" t="n">
        <v>8000</v>
      </c>
      <c r="D15" s="30" t="n">
        <f aca="false">0+N(C15)</f>
        <v>8000</v>
      </c>
      <c r="E15" s="31" t="str">
        <f aca="false">IF(AND(AND(COUNT(Cash_Flows)&gt;0,N(Initial_Investment)&gt;0),N(C15)&gt;0,0+N(C15)&gt;=N(Initial_Investment),TRUE()),B15-1+(N(Initial_Investment)-0)/C15,"")</f>
        <v/>
      </c>
      <c r="F15" s="30" t="n">
        <f aca="false">IF(AND(ISNUMBER(C15),N(Discount_Rate)&gt;-1),C15/(1+N(Discount_Rate))^B15,"")</f>
        <v>7272.72727272727</v>
      </c>
      <c r="G15" s="30" t="n">
        <f aca="false">0+N(F15)</f>
        <v>7272.72727272727</v>
      </c>
      <c r="H15" s="31" t="str">
        <f aca="false">IF(AND(AND(COUNT(Cash_Flows)&gt;0,N(Initial_Investment)&gt;0),N(Discount_Rate)&gt;-1,N(F15)&gt;0,0+N(F15)&gt;=N(Initial_Investment),TRUE()),B15-1+(N(Initial_Investment)-0)/F15,"")</f>
        <v/>
      </c>
      <c r="J15" s="27" t="s">
        <v>75</v>
      </c>
      <c r="K15" s="32" t="n">
        <f aca="false">C45</f>
        <v>24000</v>
      </c>
    </row>
    <row r="16" customFormat="false" ht="15" hidden="false" customHeight="false" outlineLevel="0" collapsed="false">
      <c r="B16" s="29" t="n">
        <v>2</v>
      </c>
      <c r="C16" s="19" t="n">
        <v>8000</v>
      </c>
      <c r="D16" s="30" t="n">
        <f aca="false">D15+N(C16)</f>
        <v>16000</v>
      </c>
      <c r="E16" s="31" t="str">
        <f aca="false">IF(AND(AND(COUNT(Cash_Flows)&gt;0,N(Initial_Investment)&gt;0),N(C16)&gt;0,D15+N(C16)&gt;=N(Initial_Investment),COUNT(E$15:E15)=0),B16-1+(N(Initial_Investment)-D15)/C16,"")</f>
        <v/>
      </c>
      <c r="F16" s="30" t="n">
        <f aca="false">IF(AND(ISNUMBER(C16),N(Discount_Rate)&gt;-1),C16/(1+N(Discount_Rate))^B16,"")</f>
        <v>6611.57024793388</v>
      </c>
      <c r="G16" s="30" t="n">
        <f aca="false">G15+N(F16)</f>
        <v>13884.2975206612</v>
      </c>
      <c r="H16" s="31" t="str">
        <f aca="false">IF(AND(AND(COUNT(Cash_Flows)&gt;0,N(Initial_Investment)&gt;0),N(Discount_Rate)&gt;-1,N(F16)&gt;0,G15+N(F16)&gt;=N(Initial_Investment),COUNT(H$15:H15)=0),B16-1+(N(Initial_Investment)-G15)/F16,"")</f>
        <v/>
      </c>
      <c r="J16" s="27" t="s">
        <v>76</v>
      </c>
      <c r="K16" s="33" t="n">
        <f aca="false">IF(AND(COUNT(Cash_Flows)&gt;0,N(Initial_Investment)&gt;0),Total_Returned/Initial_Investment,"—")</f>
        <v>1.2</v>
      </c>
    </row>
    <row r="17" customFormat="false" ht="15" hidden="false" customHeight="false" outlineLevel="0" collapsed="false">
      <c r="B17" s="29" t="n">
        <v>3</v>
      </c>
      <c r="C17" s="19" t="n">
        <v>8000</v>
      </c>
      <c r="D17" s="30" t="n">
        <f aca="false">D16+N(C17)</f>
        <v>24000</v>
      </c>
      <c r="E17" s="31" t="n">
        <f aca="false">IF(AND(AND(COUNT(Cash_Flows)&gt;0,N(Initial_Investment)&gt;0),N(C17)&gt;0,D16+N(C17)&gt;=N(Initial_Investment),COUNT(E$15:E16)=0),B17-1+(N(Initial_Investment)-D16)/C17,"")</f>
        <v>2.5</v>
      </c>
      <c r="F17" s="30" t="n">
        <f aca="false">IF(AND(ISNUMBER(C17),N(Discount_Rate)&gt;-1),C17/(1+N(Discount_Rate))^B17,"")</f>
        <v>6010.51840721262</v>
      </c>
      <c r="G17" s="30" t="n">
        <f aca="false">G16+N(F17)</f>
        <v>19894.8159278738</v>
      </c>
      <c r="H17" s="31" t="str">
        <f aca="false">IF(AND(AND(COUNT(Cash_Flows)&gt;0,N(Initial_Investment)&gt;0),N(Discount_Rate)&gt;-1,N(F17)&gt;0,G16+N(F17)&gt;=N(Initial_Investment),COUNT(H$15:H16)=0),B17-1+(N(Initial_Investment)-G16)/F17,"")</f>
        <v/>
      </c>
      <c r="J17" s="27" t="s">
        <v>77</v>
      </c>
      <c r="K17" s="32" t="n">
        <f aca="false">IF(AND(AND(COUNT(Cash_Flows)&gt;0,N(Initial_Investment)&gt;0),N(Discount_Rate)&gt;-1),F45-N(Initial_Investment),"—")</f>
        <v>-105.184072126223</v>
      </c>
    </row>
    <row r="18" customFormat="false" ht="15" hidden="false" customHeight="false" outlineLevel="0" collapsed="false">
      <c r="B18" s="29" t="n">
        <v>4</v>
      </c>
      <c r="C18" s="19"/>
      <c r="D18" s="30" t="n">
        <f aca="false">D17+N(C18)</f>
        <v>24000</v>
      </c>
      <c r="E18" s="31" t="str">
        <f aca="false">IF(AND(AND(COUNT(Cash_Flows)&gt;0,N(Initial_Investment)&gt;0),N(C18)&gt;0,D17+N(C18)&gt;=N(Initial_Investment),COUNT(E$15:E17)=0),B18-1+(N(Initial_Investment)-D17)/C18,"")</f>
        <v/>
      </c>
      <c r="F18" s="30" t="str">
        <f aca="false">IF(AND(ISNUMBER(C18),N(Discount_Rate)&gt;-1),C18/(1+N(Discount_Rate))^B18,"")</f>
        <v/>
      </c>
      <c r="G18" s="30" t="n">
        <f aca="false">G17+N(F18)</f>
        <v>19894.8159278738</v>
      </c>
      <c r="H18" s="31" t="str">
        <f aca="false">IF(AND(AND(COUNT(Cash_Flows)&gt;0,N(Initial_Investment)&gt;0),N(Discount_Rate)&gt;-1,N(F18)&gt;0,G17+N(F18)&gt;=N(Initial_Investment),COUNT(H$15:H17)=0),B18-1+(N(Initial_Investment)-G17)/F18,"")</f>
        <v/>
      </c>
      <c r="J18" s="34" t="str">
        <f aca="false">IF(AND(AND(COUNT(Cash_Flows)&gt;0,N(Initial_Investment)&gt;0),N(Discount_Rate)&gt;-1),"Discounted at "&amp;ROUND(N(Discount_Rate)*100,8)&amp;"%"&amp;" a year. Cash assumed to arrive evenly within each year.","")</f>
        <v>Discounted at 10% a year. Cash assumed to arrive evenly within each year.</v>
      </c>
      <c r="K18" s="34"/>
    </row>
    <row r="19" customFormat="false" ht="15" hidden="false" customHeight="false" outlineLevel="0" collapsed="false">
      <c r="B19" s="29" t="n">
        <v>5</v>
      </c>
      <c r="C19" s="19"/>
      <c r="D19" s="30" t="n">
        <f aca="false">D18+N(C19)</f>
        <v>24000</v>
      </c>
      <c r="E19" s="31" t="str">
        <f aca="false">IF(AND(AND(COUNT(Cash_Flows)&gt;0,N(Initial_Investment)&gt;0),N(C19)&gt;0,D18+N(C19)&gt;=N(Initial_Investment),COUNT(E$15:E18)=0),B19-1+(N(Initial_Investment)-D18)/C19,"")</f>
        <v/>
      </c>
      <c r="F19" s="30" t="str">
        <f aca="false">IF(AND(ISNUMBER(C19),N(Discount_Rate)&gt;-1),C19/(1+N(Discount_Rate))^B19,"")</f>
        <v/>
      </c>
      <c r="G19" s="30" t="n">
        <f aca="false">G18+N(F19)</f>
        <v>19894.8159278738</v>
      </c>
      <c r="H19" s="31" t="str">
        <f aca="false">IF(AND(AND(COUNT(Cash_Flows)&gt;0,N(Initial_Investment)&gt;0),N(Discount_Rate)&gt;-1,N(F19)&gt;0,G18+N(F19)&gt;=N(Initial_Investment),COUNT(H$15:H18)=0),B19-1+(N(Initial_Investment)-G18)/F19,"")</f>
        <v/>
      </c>
      <c r="J19" s="16"/>
      <c r="K19" s="17"/>
    </row>
    <row r="20" customFormat="false" ht="15" hidden="false" customHeight="false" outlineLevel="0" collapsed="false">
      <c r="B20" s="29" t="n">
        <v>6</v>
      </c>
      <c r="C20" s="19"/>
      <c r="D20" s="30" t="n">
        <f aca="false">D19+N(C20)</f>
        <v>24000</v>
      </c>
      <c r="E20" s="31" t="str">
        <f aca="false">IF(AND(AND(COUNT(Cash_Flows)&gt;0,N(Initial_Investment)&gt;0),N(C20)&gt;0,D19+N(C20)&gt;=N(Initial_Investment),COUNT(E$15:E19)=0),B20-1+(N(Initial_Investment)-D19)/C20,"")</f>
        <v/>
      </c>
      <c r="F20" s="30" t="str">
        <f aca="false">IF(AND(ISNUMBER(C20),N(Discount_Rate)&gt;-1),C20/(1+N(Discount_Rate))^B20,"")</f>
        <v/>
      </c>
      <c r="G20" s="30" t="n">
        <f aca="false">G19+N(F20)</f>
        <v>19894.8159278738</v>
      </c>
      <c r="H20" s="31" t="str">
        <f aca="false">IF(AND(AND(COUNT(Cash_Flows)&gt;0,N(Initial_Investment)&gt;0),N(Discount_Rate)&gt;-1,N(F20)&gt;0,G19+N(F20)&gt;=N(Initial_Investment),COUNT(H$15:H19)=0),B20-1+(N(Initial_Investment)-G19)/F20,"")</f>
        <v/>
      </c>
    </row>
    <row r="21" customFormat="false" ht="19.5" hidden="false" customHeight="true" outlineLevel="0" collapsed="false">
      <c r="B21" s="29" t="n">
        <v>7</v>
      </c>
      <c r="C21" s="19"/>
      <c r="D21" s="30" t="n">
        <f aca="false">D20+N(C21)</f>
        <v>24000</v>
      </c>
      <c r="E21" s="31" t="str">
        <f aca="false">IF(AND(AND(COUNT(Cash_Flows)&gt;0,N(Initial_Investment)&gt;0),N(C21)&gt;0,D20+N(C21)&gt;=N(Initial_Investment),COUNT(E$15:E20)=0),B21-1+(N(Initial_Investment)-D20)/C21,"")</f>
        <v/>
      </c>
      <c r="F21" s="30" t="str">
        <f aca="false">IF(AND(ISNUMBER(C21),N(Discount_Rate)&gt;-1),C21/(1+N(Discount_Rate))^B21,"")</f>
        <v/>
      </c>
      <c r="G21" s="30" t="n">
        <f aca="false">G20+N(F21)</f>
        <v>19894.8159278738</v>
      </c>
      <c r="H21" s="31" t="str">
        <f aca="false">IF(AND(AND(COUNT(Cash_Flows)&gt;0,N(Initial_Investment)&gt;0),N(Discount_Rate)&gt;-1,N(F21)&gt;0,G20+N(F21)&gt;=N(Initial_Investment),COUNT(H$15:H20)=0),B21-1+(N(Initial_Investment)-G20)/F21,"")</f>
        <v/>
      </c>
      <c r="J21" s="5" t="s">
        <v>78</v>
      </c>
      <c r="K21" s="6"/>
    </row>
    <row r="22" customFormat="false" ht="15" hidden="false" customHeight="false" outlineLevel="0" collapsed="false">
      <c r="B22" s="29" t="n">
        <v>8</v>
      </c>
      <c r="C22" s="19"/>
      <c r="D22" s="30" t="n">
        <f aca="false">D21+N(C22)</f>
        <v>24000</v>
      </c>
      <c r="E22" s="31" t="str">
        <f aca="false">IF(AND(AND(COUNT(Cash_Flows)&gt;0,N(Initial_Investment)&gt;0),N(C22)&gt;0,D21+N(C22)&gt;=N(Initial_Investment),COUNT(E$15:E21)=0),B22-1+(N(Initial_Investment)-D21)/C22,"")</f>
        <v/>
      </c>
      <c r="F22" s="30" t="str">
        <f aca="false">IF(AND(ISNUMBER(C22),N(Discount_Rate)&gt;-1),C22/(1+N(Discount_Rate))^B22,"")</f>
        <v/>
      </c>
      <c r="G22" s="30" t="n">
        <f aca="false">G21+N(F22)</f>
        <v>19894.8159278738</v>
      </c>
      <c r="H22" s="31" t="str">
        <f aca="false">IF(AND(AND(COUNT(Cash_Flows)&gt;0,N(Initial_Investment)&gt;0),N(Discount_Rate)&gt;-1,N(F22)&gt;0,G21+N(F22)&gt;=N(Initial_Investment),COUNT(H$15:H21)=0),B22-1+(N(Initial_Investment)-G21)/F22,"")</f>
        <v/>
      </c>
      <c r="J22" s="35" t="str">
        <f aca="false">IF(NOT(AND(COUNT(Cash_Flows)&gt;0,N(Initial_Investment)&gt;0)),"Enter an initial investment and at least one yearly cash flow.",IF(COUNT(Payback_Points)=0,"The cash flows you entered never add up to the amount invested, so the money is not recovered within this period.","You get your money back after "&amp;TEXT(Payback_Years,"0.00")&amp;" years.")&amp;IF(NOT(N(Discount_Rate)&gt;-1)," Enter a discount rate above −100% to see the discounted payback.",IF(COUNT(DPayback_Points)=0," On a discounted basis the money never fully comes back within the period entered, which means this project does not clear a "&amp;ROUND(N(Discount_Rate)*100,8)&amp;"%"&amp;" hurdle."," Discounting each year at "&amp;ROUND(N(Discount_Rate)*100,8)&amp;"%"&amp;", true recovery takes "&amp;TEXT(Discounted_Payback,"0.00")&amp;" years.")))</f>
        <v>You get your money back after 2.50 years. On a discounted basis the money never fully comes back within the period entered, which means this project does not clear a 10% hurdle.</v>
      </c>
      <c r="K22" s="35"/>
    </row>
    <row r="23" customFormat="false" ht="15" hidden="false" customHeight="false" outlineLevel="0" collapsed="false">
      <c r="B23" s="29" t="n">
        <v>9</v>
      </c>
      <c r="C23" s="19"/>
      <c r="D23" s="30" t="n">
        <f aca="false">D22+N(C23)</f>
        <v>24000</v>
      </c>
      <c r="E23" s="31" t="str">
        <f aca="false">IF(AND(AND(COUNT(Cash_Flows)&gt;0,N(Initial_Investment)&gt;0),N(C23)&gt;0,D22+N(C23)&gt;=N(Initial_Investment),COUNT(E$15:E22)=0),B23-1+(N(Initial_Investment)-D22)/C23,"")</f>
        <v/>
      </c>
      <c r="F23" s="30" t="str">
        <f aca="false">IF(AND(ISNUMBER(C23),N(Discount_Rate)&gt;-1),C23/(1+N(Discount_Rate))^B23,"")</f>
        <v/>
      </c>
      <c r="G23" s="30" t="n">
        <f aca="false">G22+N(F23)</f>
        <v>19894.8159278738</v>
      </c>
      <c r="H23" s="31" t="str">
        <f aca="false">IF(AND(AND(COUNT(Cash_Flows)&gt;0,N(Initial_Investment)&gt;0),N(Discount_Rate)&gt;-1,N(F23)&gt;0,G22+N(F23)&gt;=N(Initial_Investment),COUNT(H$15:H22)=0),B23-1+(N(Initial_Investment)-G22)/F23,"")</f>
        <v/>
      </c>
      <c r="J23" s="35"/>
      <c r="K23" s="35"/>
    </row>
    <row r="24" customFormat="false" ht="15" hidden="false" customHeight="false" outlineLevel="0" collapsed="false">
      <c r="B24" s="29" t="n">
        <v>10</v>
      </c>
      <c r="C24" s="19"/>
      <c r="D24" s="30" t="n">
        <f aca="false">D23+N(C24)</f>
        <v>24000</v>
      </c>
      <c r="E24" s="31" t="str">
        <f aca="false">IF(AND(AND(COUNT(Cash_Flows)&gt;0,N(Initial_Investment)&gt;0),N(C24)&gt;0,D23+N(C24)&gt;=N(Initial_Investment),COUNT(E$15:E23)=0),B24-1+(N(Initial_Investment)-D23)/C24,"")</f>
        <v/>
      </c>
      <c r="F24" s="30" t="str">
        <f aca="false">IF(AND(ISNUMBER(C24),N(Discount_Rate)&gt;-1),C24/(1+N(Discount_Rate))^B24,"")</f>
        <v/>
      </c>
      <c r="G24" s="30" t="n">
        <f aca="false">G23+N(F24)</f>
        <v>19894.8159278738</v>
      </c>
      <c r="H24" s="31" t="str">
        <f aca="false">IF(AND(AND(COUNT(Cash_Flows)&gt;0,N(Initial_Investment)&gt;0),N(Discount_Rate)&gt;-1,N(F24)&gt;0,G23+N(F24)&gt;=N(Initial_Investment),COUNT(H$15:H23)=0),B24-1+(N(Initial_Investment)-G23)/F24,"")</f>
        <v/>
      </c>
      <c r="J24" s="35"/>
      <c r="K24" s="35"/>
    </row>
    <row r="25" customFormat="false" ht="15" hidden="false" customHeight="false" outlineLevel="0" collapsed="false">
      <c r="B25" s="29" t="n">
        <v>11</v>
      </c>
      <c r="C25" s="19"/>
      <c r="D25" s="30" t="n">
        <f aca="false">D24+N(C25)</f>
        <v>24000</v>
      </c>
      <c r="E25" s="31" t="str">
        <f aca="false">IF(AND(AND(COUNT(Cash_Flows)&gt;0,N(Initial_Investment)&gt;0),N(C25)&gt;0,D24+N(C25)&gt;=N(Initial_Investment),COUNT(E$15:E24)=0),B25-1+(N(Initial_Investment)-D24)/C25,"")</f>
        <v/>
      </c>
      <c r="F25" s="30" t="str">
        <f aca="false">IF(AND(ISNUMBER(C25),N(Discount_Rate)&gt;-1),C25/(1+N(Discount_Rate))^B25,"")</f>
        <v/>
      </c>
      <c r="G25" s="30" t="n">
        <f aca="false">G24+N(F25)</f>
        <v>19894.8159278738</v>
      </c>
      <c r="H25" s="31" t="str">
        <f aca="false">IF(AND(AND(COUNT(Cash_Flows)&gt;0,N(Initial_Investment)&gt;0),N(Discount_Rate)&gt;-1,N(F25)&gt;0,G24+N(F25)&gt;=N(Initial_Investment),COUNT(H$15:H24)=0),B25-1+(N(Initial_Investment)-G24)/F25,"")</f>
        <v/>
      </c>
      <c r="J25" s="35"/>
      <c r="K25" s="35"/>
    </row>
    <row r="26" customFormat="false" ht="15" hidden="false" customHeight="false" outlineLevel="0" collapsed="false">
      <c r="B26" s="29" t="n">
        <v>12</v>
      </c>
      <c r="C26" s="19"/>
      <c r="D26" s="30" t="n">
        <f aca="false">D25+N(C26)</f>
        <v>24000</v>
      </c>
      <c r="E26" s="31" t="str">
        <f aca="false">IF(AND(AND(COUNT(Cash_Flows)&gt;0,N(Initial_Investment)&gt;0),N(C26)&gt;0,D25+N(C26)&gt;=N(Initial_Investment),COUNT(E$15:E25)=0),B26-1+(N(Initial_Investment)-D25)/C26,"")</f>
        <v/>
      </c>
      <c r="F26" s="30" t="str">
        <f aca="false">IF(AND(ISNUMBER(C26),N(Discount_Rate)&gt;-1),C26/(1+N(Discount_Rate))^B26,"")</f>
        <v/>
      </c>
      <c r="G26" s="30" t="n">
        <f aca="false">G25+N(F26)</f>
        <v>19894.8159278738</v>
      </c>
      <c r="H26" s="31" t="str">
        <f aca="false">IF(AND(AND(COUNT(Cash_Flows)&gt;0,N(Initial_Investment)&gt;0),N(Discount_Rate)&gt;-1,N(F26)&gt;0,G25+N(F26)&gt;=N(Initial_Investment),COUNT(H$15:H25)=0),B26-1+(N(Initial_Investment)-G25)/F26,"")</f>
        <v/>
      </c>
      <c r="J26" s="35"/>
      <c r="K26" s="35"/>
    </row>
    <row r="27" customFormat="false" ht="15" hidden="false" customHeight="false" outlineLevel="0" collapsed="false">
      <c r="B27" s="29" t="n">
        <v>13</v>
      </c>
      <c r="C27" s="19"/>
      <c r="D27" s="30" t="n">
        <f aca="false">D26+N(C27)</f>
        <v>24000</v>
      </c>
      <c r="E27" s="31" t="str">
        <f aca="false">IF(AND(AND(COUNT(Cash_Flows)&gt;0,N(Initial_Investment)&gt;0),N(C27)&gt;0,D26+N(C27)&gt;=N(Initial_Investment),COUNT(E$15:E26)=0),B27-1+(N(Initial_Investment)-D26)/C27,"")</f>
        <v/>
      </c>
      <c r="F27" s="30" t="str">
        <f aca="false">IF(AND(ISNUMBER(C27),N(Discount_Rate)&gt;-1),C27/(1+N(Discount_Rate))^B27,"")</f>
        <v/>
      </c>
      <c r="G27" s="30" t="n">
        <f aca="false">G26+N(F27)</f>
        <v>19894.8159278738</v>
      </c>
      <c r="H27" s="31" t="str">
        <f aca="false">IF(AND(AND(COUNT(Cash_Flows)&gt;0,N(Initial_Investment)&gt;0),N(Discount_Rate)&gt;-1,N(F27)&gt;0,G26+N(F27)&gt;=N(Initial_Investment),COUNT(H$15:H26)=0),B27-1+(N(Initial_Investment)-G26)/F27,"")</f>
        <v/>
      </c>
      <c r="J27" s="35"/>
      <c r="K27" s="35"/>
    </row>
    <row r="28" customFormat="false" ht="15" hidden="false" customHeight="false" outlineLevel="0" collapsed="false">
      <c r="B28" s="29" t="n">
        <v>14</v>
      </c>
      <c r="C28" s="19"/>
      <c r="D28" s="30" t="n">
        <f aca="false">D27+N(C28)</f>
        <v>24000</v>
      </c>
      <c r="E28" s="31" t="str">
        <f aca="false">IF(AND(AND(COUNT(Cash_Flows)&gt;0,N(Initial_Investment)&gt;0),N(C28)&gt;0,D27+N(C28)&gt;=N(Initial_Investment),COUNT(E$15:E27)=0),B28-1+(N(Initial_Investment)-D27)/C28,"")</f>
        <v/>
      </c>
      <c r="F28" s="30" t="str">
        <f aca="false">IF(AND(ISNUMBER(C28),N(Discount_Rate)&gt;-1),C28/(1+N(Discount_Rate))^B28,"")</f>
        <v/>
      </c>
      <c r="G28" s="30" t="n">
        <f aca="false">G27+N(F28)</f>
        <v>19894.8159278738</v>
      </c>
      <c r="H28" s="31" t="str">
        <f aca="false">IF(AND(AND(COUNT(Cash_Flows)&gt;0,N(Initial_Investment)&gt;0),N(Discount_Rate)&gt;-1,N(F28)&gt;0,G27+N(F28)&gt;=N(Initial_Investment),COUNT(H$15:H27)=0),B28-1+(N(Initial_Investment)-G27)/F28,"")</f>
        <v/>
      </c>
    </row>
    <row r="29" customFormat="false" ht="19.5" hidden="false" customHeight="true" outlineLevel="0" collapsed="false">
      <c r="B29" s="29" t="n">
        <v>15</v>
      </c>
      <c r="C29" s="19"/>
      <c r="D29" s="30" t="n">
        <f aca="false">D28+N(C29)</f>
        <v>24000</v>
      </c>
      <c r="E29" s="31" t="str">
        <f aca="false">IF(AND(AND(COUNT(Cash_Flows)&gt;0,N(Initial_Investment)&gt;0),N(C29)&gt;0,D28+N(C29)&gt;=N(Initial_Investment),COUNT(E$15:E28)=0),B29-1+(N(Initial_Investment)-D28)/C29,"")</f>
        <v/>
      </c>
      <c r="F29" s="30" t="str">
        <f aca="false">IF(AND(ISNUMBER(C29),N(Discount_Rate)&gt;-1),C29/(1+N(Discount_Rate))^B29,"")</f>
        <v/>
      </c>
      <c r="G29" s="30" t="n">
        <f aca="false">G28+N(F29)</f>
        <v>19894.8159278738</v>
      </c>
      <c r="H29" s="31" t="str">
        <f aca="false">IF(AND(AND(COUNT(Cash_Flows)&gt;0,N(Initial_Investment)&gt;0),N(Discount_Rate)&gt;-1,N(F29)&gt;0,G28+N(F29)&gt;=N(Initial_Investment),COUNT(H$15:H28)=0),B29-1+(N(Initial_Investment)-G28)/F29,"")</f>
        <v/>
      </c>
      <c r="J29" s="5" t="s">
        <v>79</v>
      </c>
      <c r="K29" s="6"/>
    </row>
    <row r="30" customFormat="false" ht="15" hidden="false" customHeight="false" outlineLevel="0" collapsed="false">
      <c r="B30" s="29" t="n">
        <v>16</v>
      </c>
      <c r="C30" s="19"/>
      <c r="D30" s="30" t="n">
        <f aca="false">D29+N(C30)</f>
        <v>24000</v>
      </c>
      <c r="E30" s="31" t="str">
        <f aca="false">IF(AND(AND(COUNT(Cash_Flows)&gt;0,N(Initial_Investment)&gt;0),N(C30)&gt;0,D29+N(C30)&gt;=N(Initial_Investment),COUNT(E$15:E29)=0),B30-1+(N(Initial_Investment)-D29)/C30,"")</f>
        <v/>
      </c>
      <c r="F30" s="30" t="str">
        <f aca="false">IF(AND(ISNUMBER(C30),N(Discount_Rate)&gt;-1),C30/(1+N(Discount_Rate))^B30,"")</f>
        <v/>
      </c>
      <c r="G30" s="30" t="n">
        <f aca="false">G29+N(F30)</f>
        <v>19894.8159278738</v>
      </c>
      <c r="H30" s="31" t="str">
        <f aca="false">IF(AND(AND(COUNT(Cash_Flows)&gt;0,N(Initial_Investment)&gt;0),N(Discount_Rate)&gt;-1,N(F30)&gt;0,G29+N(F30)&gt;=N(Initial_Investment),COUNT(H$15:H29)=0),B30-1+(N(Initial_Investment)-G29)/F30,"")</f>
        <v/>
      </c>
      <c r="J30" s="36" t="str">
        <f aca="false">IF(N(Initial_Investment)&gt;0,"OK — initial investment entered","Check — enter an initial investment above zero")</f>
        <v>OK — initial investment entered</v>
      </c>
      <c r="K30" s="36"/>
    </row>
    <row r="31" customFormat="false" ht="15" hidden="false" customHeight="false" outlineLevel="0" collapsed="false">
      <c r="B31" s="29" t="n">
        <v>17</v>
      </c>
      <c r="C31" s="19"/>
      <c r="D31" s="30" t="n">
        <f aca="false">D30+N(C31)</f>
        <v>24000</v>
      </c>
      <c r="E31" s="31" t="str">
        <f aca="false">IF(AND(AND(COUNT(Cash_Flows)&gt;0,N(Initial_Investment)&gt;0),N(C31)&gt;0,D30+N(C31)&gt;=N(Initial_Investment),COUNT(E$15:E30)=0),B31-1+(N(Initial_Investment)-D30)/C31,"")</f>
        <v/>
      </c>
      <c r="F31" s="30" t="str">
        <f aca="false">IF(AND(ISNUMBER(C31),N(Discount_Rate)&gt;-1),C31/(1+N(Discount_Rate))^B31,"")</f>
        <v/>
      </c>
      <c r="G31" s="30" t="n">
        <f aca="false">G30+N(F31)</f>
        <v>19894.8159278738</v>
      </c>
      <c r="H31" s="31" t="str">
        <f aca="false">IF(AND(AND(COUNT(Cash_Flows)&gt;0,N(Initial_Investment)&gt;0),N(Discount_Rate)&gt;-1,N(F31)&gt;0,G30+N(F31)&gt;=N(Initial_Investment),COUNT(H$15:H30)=0),B31-1+(N(Initial_Investment)-G30)/F31,"")</f>
        <v/>
      </c>
      <c r="J31" s="36" t="str">
        <f aca="false">IF(ISBLANK(Discount_Rate),"Note — no discount rate entered, so 0% is used",IF(NOT(ISNUMBER(Discount_Rate)),"Check — the discount rate must be a number",IF(Discount_Rate&lt;=-1,"Check — the discount rate must be above −100%","OK — discount rate is valid")))</f>
        <v>OK — discount rate is valid</v>
      </c>
      <c r="K31" s="36"/>
    </row>
    <row r="32" customFormat="false" ht="15" hidden="false" customHeight="false" outlineLevel="0" collapsed="false">
      <c r="B32" s="29" t="n">
        <v>18</v>
      </c>
      <c r="C32" s="19"/>
      <c r="D32" s="30" t="n">
        <f aca="false">D31+N(C32)</f>
        <v>24000</v>
      </c>
      <c r="E32" s="31" t="str">
        <f aca="false">IF(AND(AND(COUNT(Cash_Flows)&gt;0,N(Initial_Investment)&gt;0),N(C32)&gt;0,D31+N(C32)&gt;=N(Initial_Investment),COUNT(E$15:E31)=0),B32-1+(N(Initial_Investment)-D31)/C32,"")</f>
        <v/>
      </c>
      <c r="F32" s="30" t="str">
        <f aca="false">IF(AND(ISNUMBER(C32),N(Discount_Rate)&gt;-1),C32/(1+N(Discount_Rate))^B32,"")</f>
        <v/>
      </c>
      <c r="G32" s="30" t="n">
        <f aca="false">G31+N(F32)</f>
        <v>19894.8159278738</v>
      </c>
      <c r="H32" s="31" t="str">
        <f aca="false">IF(AND(AND(COUNT(Cash_Flows)&gt;0,N(Initial_Investment)&gt;0),N(Discount_Rate)&gt;-1,N(F32)&gt;0,G31+N(F32)&gt;=N(Initial_Investment),COUNT(H$15:H31)=0),B32-1+(N(Initial_Investment)-G31)/F32,"")</f>
        <v/>
      </c>
      <c r="J32" s="36" t="str">
        <f aca="false">IF(COUNT(Cash_Flows)=0,"Check — enter at least one yearly cash flow","OK — "&amp;COUNT(Cash_Flows)&amp;" yearly cash flow(s) entered")</f>
        <v>OK — 3 yearly cash flow(s) entered</v>
      </c>
      <c r="K32" s="36"/>
    </row>
    <row r="33" customFormat="false" ht="15" hidden="false" customHeight="false" outlineLevel="0" collapsed="false">
      <c r="B33" s="29" t="n">
        <v>19</v>
      </c>
      <c r="C33" s="19"/>
      <c r="D33" s="30" t="n">
        <f aca="false">D32+N(C33)</f>
        <v>24000</v>
      </c>
      <c r="E33" s="31" t="str">
        <f aca="false">IF(AND(AND(COUNT(Cash_Flows)&gt;0,N(Initial_Investment)&gt;0),N(C33)&gt;0,D32+N(C33)&gt;=N(Initial_Investment),COUNT(E$15:E32)=0),B33-1+(N(Initial_Investment)-D32)/C33,"")</f>
        <v/>
      </c>
      <c r="F33" s="30" t="str">
        <f aca="false">IF(AND(ISNUMBER(C33),N(Discount_Rate)&gt;-1),C33/(1+N(Discount_Rate))^B33,"")</f>
        <v/>
      </c>
      <c r="G33" s="30" t="n">
        <f aca="false">G32+N(F33)</f>
        <v>19894.8159278738</v>
      </c>
      <c r="H33" s="31" t="str">
        <f aca="false">IF(AND(AND(COUNT(Cash_Flows)&gt;0,N(Initial_Investment)&gt;0),N(Discount_Rate)&gt;-1,N(F33)&gt;0,G32+N(F33)&gt;=N(Initial_Investment),COUNT(H$15:H32)=0),B33-1+(N(Initial_Investment)-G32)/F33,"")</f>
        <v/>
      </c>
    </row>
    <row r="34" customFormat="false" ht="15" hidden="false" customHeight="true" outlineLevel="0" collapsed="false">
      <c r="B34" s="29" t="n">
        <v>20</v>
      </c>
      <c r="C34" s="19"/>
      <c r="D34" s="30" t="n">
        <f aca="false">D33+N(C34)</f>
        <v>24000</v>
      </c>
      <c r="E34" s="31" t="str">
        <f aca="false">IF(AND(AND(COUNT(Cash_Flows)&gt;0,N(Initial_Investment)&gt;0),N(C34)&gt;0,D33+N(C34)&gt;=N(Initial_Investment),COUNT(E$15:E33)=0),B34-1+(N(Initial_Investment)-D33)/C34,"")</f>
        <v/>
      </c>
      <c r="F34" s="30" t="str">
        <f aca="false">IF(AND(ISNUMBER(C34),N(Discount_Rate)&gt;-1),C34/(1+N(Discount_Rate))^B34,"")</f>
        <v/>
      </c>
      <c r="G34" s="30" t="n">
        <f aca="false">G33+N(F34)</f>
        <v>19894.8159278738</v>
      </c>
      <c r="H34" s="31" t="str">
        <f aca="false">IF(AND(AND(COUNT(Cash_Flows)&gt;0,N(Initial_Investment)&gt;0),N(Discount_Rate)&gt;-1,N(F34)&gt;0,G33+N(F34)&gt;=N(Initial_Investment),COUNT(H$15:H33)=0),B34-1+(N(Initial_Investment)-G33)/F34,"")</f>
        <v/>
      </c>
      <c r="J34" s="20" t="s">
        <v>80</v>
      </c>
      <c r="K34" s="20"/>
    </row>
    <row r="35" customFormat="false" ht="15" hidden="false" customHeight="false" outlineLevel="0" collapsed="false">
      <c r="B35" s="29" t="n">
        <v>21</v>
      </c>
      <c r="C35" s="19"/>
      <c r="D35" s="30" t="n">
        <f aca="false">D34+N(C35)</f>
        <v>24000</v>
      </c>
      <c r="E35" s="31" t="str">
        <f aca="false">IF(AND(AND(COUNT(Cash_Flows)&gt;0,N(Initial_Investment)&gt;0),N(C35)&gt;0,D34+N(C35)&gt;=N(Initial_Investment),COUNT(E$15:E34)=0),B35-1+(N(Initial_Investment)-D34)/C35,"")</f>
        <v/>
      </c>
      <c r="F35" s="30" t="str">
        <f aca="false">IF(AND(ISNUMBER(C35),N(Discount_Rate)&gt;-1),C35/(1+N(Discount_Rate))^B35,"")</f>
        <v/>
      </c>
      <c r="G35" s="30" t="n">
        <f aca="false">G34+N(F35)</f>
        <v>19894.8159278738</v>
      </c>
      <c r="H35" s="31" t="str">
        <f aca="false">IF(AND(AND(COUNT(Cash_Flows)&gt;0,N(Initial_Investment)&gt;0),N(Discount_Rate)&gt;-1,N(F35)&gt;0,G34+N(F35)&gt;=N(Initial_Investment),COUNT(H$15:H34)=0),B35-1+(N(Initial_Investment)-G34)/F35,"")</f>
        <v/>
      </c>
      <c r="J35" s="20"/>
      <c r="K35" s="20"/>
    </row>
    <row r="36" customFormat="false" ht="24" hidden="false" customHeight="true" outlineLevel="0" collapsed="false">
      <c r="B36" s="29" t="n">
        <v>22</v>
      </c>
      <c r="C36" s="19"/>
      <c r="D36" s="30" t="n">
        <f aca="false">D35+N(C36)</f>
        <v>24000</v>
      </c>
      <c r="E36" s="31" t="str">
        <f aca="false">IF(AND(AND(COUNT(Cash_Flows)&gt;0,N(Initial_Investment)&gt;0),N(C36)&gt;0,D35+N(C36)&gt;=N(Initial_Investment),COUNT(E$15:E35)=0),B36-1+(N(Initial_Investment)-D35)/C36,"")</f>
        <v/>
      </c>
      <c r="F36" s="30" t="str">
        <f aca="false">IF(AND(ISNUMBER(C36),N(Discount_Rate)&gt;-1),C36/(1+N(Discount_Rate))^B36,"")</f>
        <v/>
      </c>
      <c r="G36" s="30" t="n">
        <f aca="false">G35+N(F36)</f>
        <v>19894.8159278738</v>
      </c>
      <c r="H36" s="31" t="str">
        <f aca="false">IF(AND(AND(COUNT(Cash_Flows)&gt;0,N(Initial_Investment)&gt;0),N(Discount_Rate)&gt;-1,N(F36)&gt;0,G35+N(F36)&gt;=N(Initial_Investment),COUNT(H$15:H35)=0),B36-1+(N(Initial_Investment)-G35)/F36,"")</f>
        <v/>
      </c>
      <c r="J36" s="37" t="s">
        <v>81</v>
      </c>
      <c r="K36" s="37"/>
    </row>
    <row r="37" customFormat="false" ht="15" hidden="false" customHeight="false" outlineLevel="0" collapsed="false">
      <c r="B37" s="29" t="n">
        <v>23</v>
      </c>
      <c r="C37" s="19"/>
      <c r="D37" s="30" t="n">
        <f aca="false">D36+N(C37)</f>
        <v>24000</v>
      </c>
      <c r="E37" s="31" t="str">
        <f aca="false">IF(AND(AND(COUNT(Cash_Flows)&gt;0,N(Initial_Investment)&gt;0),N(C37)&gt;0,D36+N(C37)&gt;=N(Initial_Investment),COUNT(E$15:E36)=0),B37-1+(N(Initial_Investment)-D36)/C37,"")</f>
        <v/>
      </c>
      <c r="F37" s="30" t="str">
        <f aca="false">IF(AND(ISNUMBER(C37),N(Discount_Rate)&gt;-1),C37/(1+N(Discount_Rate))^B37,"")</f>
        <v/>
      </c>
      <c r="G37" s="30" t="n">
        <f aca="false">G36+N(F37)</f>
        <v>19894.8159278738</v>
      </c>
      <c r="H37" s="31" t="str">
        <f aca="false">IF(AND(AND(COUNT(Cash_Flows)&gt;0,N(Initial_Investment)&gt;0),N(Discount_Rate)&gt;-1,N(F37)&gt;0,G36+N(F37)&gt;=N(Initial_Investment),COUNT(H$15:H36)=0),B37-1+(N(Initial_Investment)-G36)/F37,"")</f>
        <v/>
      </c>
      <c r="J37" s="37"/>
      <c r="K37" s="37"/>
    </row>
    <row r="38" customFormat="false" ht="15" hidden="false" customHeight="false" outlineLevel="0" collapsed="false">
      <c r="B38" s="29" t="n">
        <v>24</v>
      </c>
      <c r="C38" s="19"/>
      <c r="D38" s="30" t="n">
        <f aca="false">D37+N(C38)</f>
        <v>24000</v>
      </c>
      <c r="E38" s="31" t="str">
        <f aca="false">IF(AND(AND(COUNT(Cash_Flows)&gt;0,N(Initial_Investment)&gt;0),N(C38)&gt;0,D37+N(C38)&gt;=N(Initial_Investment),COUNT(E$15:E37)=0),B38-1+(N(Initial_Investment)-D37)/C38,"")</f>
        <v/>
      </c>
      <c r="F38" s="30" t="str">
        <f aca="false">IF(AND(ISNUMBER(C38),N(Discount_Rate)&gt;-1),C38/(1+N(Discount_Rate))^B38,"")</f>
        <v/>
      </c>
      <c r="G38" s="30" t="n">
        <f aca="false">G37+N(F38)</f>
        <v>19894.8159278738</v>
      </c>
      <c r="H38" s="31" t="str">
        <f aca="false">IF(AND(AND(COUNT(Cash_Flows)&gt;0,N(Initial_Investment)&gt;0),N(Discount_Rate)&gt;-1,N(F38)&gt;0,G37+N(F38)&gt;=N(Initial_Investment),COUNT(H$15:H37)=0),B38-1+(N(Initial_Investment)-G37)/F38,"")</f>
        <v/>
      </c>
    </row>
    <row r="39" customFormat="false" ht="15" hidden="false" customHeight="false" outlineLevel="0" collapsed="false">
      <c r="B39" s="29" t="n">
        <v>25</v>
      </c>
      <c r="C39" s="19"/>
      <c r="D39" s="30" t="n">
        <f aca="false">D38+N(C39)</f>
        <v>24000</v>
      </c>
      <c r="E39" s="31" t="str">
        <f aca="false">IF(AND(AND(COUNT(Cash_Flows)&gt;0,N(Initial_Investment)&gt;0),N(C39)&gt;0,D38+N(C39)&gt;=N(Initial_Investment),COUNT(E$15:E38)=0),B39-1+(N(Initial_Investment)-D38)/C39,"")</f>
        <v/>
      </c>
      <c r="F39" s="30" t="str">
        <f aca="false">IF(AND(ISNUMBER(C39),N(Discount_Rate)&gt;-1),C39/(1+N(Discount_Rate))^B39,"")</f>
        <v/>
      </c>
      <c r="G39" s="30" t="n">
        <f aca="false">G38+N(F39)</f>
        <v>19894.8159278738</v>
      </c>
      <c r="H39" s="31" t="str">
        <f aca="false">IF(AND(AND(COUNT(Cash_Flows)&gt;0,N(Initial_Investment)&gt;0),N(Discount_Rate)&gt;-1,N(F39)&gt;0,G38+N(F39)&gt;=N(Initial_Investment),COUNT(H$15:H38)=0),B39-1+(N(Initial_Investment)-G38)/F39,"")</f>
        <v/>
      </c>
    </row>
    <row r="40" customFormat="false" ht="15" hidden="false" customHeight="false" outlineLevel="0" collapsed="false">
      <c r="B40" s="29" t="n">
        <v>26</v>
      </c>
      <c r="C40" s="19"/>
      <c r="D40" s="30" t="n">
        <f aca="false">D39+N(C40)</f>
        <v>24000</v>
      </c>
      <c r="E40" s="31" t="str">
        <f aca="false">IF(AND(AND(COUNT(Cash_Flows)&gt;0,N(Initial_Investment)&gt;0),N(C40)&gt;0,D39+N(C40)&gt;=N(Initial_Investment),COUNT(E$15:E39)=0),B40-1+(N(Initial_Investment)-D39)/C40,"")</f>
        <v/>
      </c>
      <c r="F40" s="30" t="str">
        <f aca="false">IF(AND(ISNUMBER(C40),N(Discount_Rate)&gt;-1),C40/(1+N(Discount_Rate))^B40,"")</f>
        <v/>
      </c>
      <c r="G40" s="30" t="n">
        <f aca="false">G39+N(F40)</f>
        <v>19894.8159278738</v>
      </c>
      <c r="H40" s="31" t="str">
        <f aca="false">IF(AND(AND(COUNT(Cash_Flows)&gt;0,N(Initial_Investment)&gt;0),N(Discount_Rate)&gt;-1,N(F40)&gt;0,G39+N(F40)&gt;=N(Initial_Investment),COUNT(H$15:H39)=0),B40-1+(N(Initial_Investment)-G39)/F40,"")</f>
        <v/>
      </c>
    </row>
    <row r="41" customFormat="false" ht="15" hidden="false" customHeight="false" outlineLevel="0" collapsed="false">
      <c r="B41" s="29" t="n">
        <v>27</v>
      </c>
      <c r="C41" s="19"/>
      <c r="D41" s="30" t="n">
        <f aca="false">D40+N(C41)</f>
        <v>24000</v>
      </c>
      <c r="E41" s="31" t="str">
        <f aca="false">IF(AND(AND(COUNT(Cash_Flows)&gt;0,N(Initial_Investment)&gt;0),N(C41)&gt;0,D40+N(C41)&gt;=N(Initial_Investment),COUNT(E$15:E40)=0),B41-1+(N(Initial_Investment)-D40)/C41,"")</f>
        <v/>
      </c>
      <c r="F41" s="30" t="str">
        <f aca="false">IF(AND(ISNUMBER(C41),N(Discount_Rate)&gt;-1),C41/(1+N(Discount_Rate))^B41,"")</f>
        <v/>
      </c>
      <c r="G41" s="30" t="n">
        <f aca="false">G40+N(F41)</f>
        <v>19894.8159278738</v>
      </c>
      <c r="H41" s="31" t="str">
        <f aca="false">IF(AND(AND(COUNT(Cash_Flows)&gt;0,N(Initial_Investment)&gt;0),N(Discount_Rate)&gt;-1,N(F41)&gt;0,G40+N(F41)&gt;=N(Initial_Investment),COUNT(H$15:H40)=0),B41-1+(N(Initial_Investment)-G40)/F41,"")</f>
        <v/>
      </c>
    </row>
    <row r="42" customFormat="false" ht="15" hidden="false" customHeight="false" outlineLevel="0" collapsed="false">
      <c r="B42" s="29" t="n">
        <v>28</v>
      </c>
      <c r="C42" s="19"/>
      <c r="D42" s="30" t="n">
        <f aca="false">D41+N(C42)</f>
        <v>24000</v>
      </c>
      <c r="E42" s="31" t="str">
        <f aca="false">IF(AND(AND(COUNT(Cash_Flows)&gt;0,N(Initial_Investment)&gt;0),N(C42)&gt;0,D41+N(C42)&gt;=N(Initial_Investment),COUNT(E$15:E41)=0),B42-1+(N(Initial_Investment)-D41)/C42,"")</f>
        <v/>
      </c>
      <c r="F42" s="30" t="str">
        <f aca="false">IF(AND(ISNUMBER(C42),N(Discount_Rate)&gt;-1),C42/(1+N(Discount_Rate))^B42,"")</f>
        <v/>
      </c>
      <c r="G42" s="30" t="n">
        <f aca="false">G41+N(F42)</f>
        <v>19894.8159278738</v>
      </c>
      <c r="H42" s="31" t="str">
        <f aca="false">IF(AND(AND(COUNT(Cash_Flows)&gt;0,N(Initial_Investment)&gt;0),N(Discount_Rate)&gt;-1,N(F42)&gt;0,G41+N(F42)&gt;=N(Initial_Investment),COUNT(H$15:H41)=0),B42-1+(N(Initial_Investment)-G41)/F42,"")</f>
        <v/>
      </c>
    </row>
    <row r="43" customFormat="false" ht="15" hidden="false" customHeight="false" outlineLevel="0" collapsed="false">
      <c r="B43" s="29" t="n">
        <v>29</v>
      </c>
      <c r="C43" s="19"/>
      <c r="D43" s="30" t="n">
        <f aca="false">D42+N(C43)</f>
        <v>24000</v>
      </c>
      <c r="E43" s="31" t="str">
        <f aca="false">IF(AND(AND(COUNT(Cash_Flows)&gt;0,N(Initial_Investment)&gt;0),N(C43)&gt;0,D42+N(C43)&gt;=N(Initial_Investment),COUNT(E$15:E42)=0),B43-1+(N(Initial_Investment)-D42)/C43,"")</f>
        <v/>
      </c>
      <c r="F43" s="30" t="str">
        <f aca="false">IF(AND(ISNUMBER(C43),N(Discount_Rate)&gt;-1),C43/(1+N(Discount_Rate))^B43,"")</f>
        <v/>
      </c>
      <c r="G43" s="30" t="n">
        <f aca="false">G42+N(F43)</f>
        <v>19894.8159278738</v>
      </c>
      <c r="H43" s="31" t="str">
        <f aca="false">IF(AND(AND(COUNT(Cash_Flows)&gt;0,N(Initial_Investment)&gt;0),N(Discount_Rate)&gt;-1,N(F43)&gt;0,G42+N(F43)&gt;=N(Initial_Investment),COUNT(H$15:H42)=0),B43-1+(N(Initial_Investment)-G42)/F43,"")</f>
        <v/>
      </c>
    </row>
    <row r="44" customFormat="false" ht="15" hidden="false" customHeight="false" outlineLevel="0" collapsed="false">
      <c r="B44" s="29" t="n">
        <v>30</v>
      </c>
      <c r="C44" s="19"/>
      <c r="D44" s="30" t="n">
        <f aca="false">D43+N(C44)</f>
        <v>24000</v>
      </c>
      <c r="E44" s="31" t="str">
        <f aca="false">IF(AND(AND(COUNT(Cash_Flows)&gt;0,N(Initial_Investment)&gt;0),N(C44)&gt;0,D43+N(C44)&gt;=N(Initial_Investment),COUNT(E$15:E43)=0),B44-1+(N(Initial_Investment)-D43)/C44,"")</f>
        <v/>
      </c>
      <c r="F44" s="30" t="str">
        <f aca="false">IF(AND(ISNUMBER(C44),N(Discount_Rate)&gt;-1),C44/(1+N(Discount_Rate))^B44,"")</f>
        <v/>
      </c>
      <c r="G44" s="30" t="n">
        <f aca="false">G43+N(F44)</f>
        <v>19894.8159278738</v>
      </c>
      <c r="H44" s="31" t="str">
        <f aca="false">IF(AND(AND(COUNT(Cash_Flows)&gt;0,N(Initial_Investment)&gt;0),N(Discount_Rate)&gt;-1,N(F44)&gt;0,G43+N(F44)&gt;=N(Initial_Investment),COUNT(H$15:H43)=0),B44-1+(N(Initial_Investment)-G43)/F44,"")</f>
        <v/>
      </c>
    </row>
    <row r="45" customFormat="false" ht="15" hidden="false" customHeight="false" outlineLevel="0" collapsed="false">
      <c r="B45" s="38" t="s">
        <v>82</v>
      </c>
      <c r="C45" s="39" t="n">
        <f aca="false">IF(AND(COUNT(Cash_Flows)&gt;0,N(Initial_Investment)&gt;0),SUM(Cash_Flows),"—")</f>
        <v>24000</v>
      </c>
      <c r="D45" s="40"/>
      <c r="E45" s="40"/>
      <c r="F45" s="39" t="n">
        <f aca="false">IF(AND(AND(COUNT(Cash_Flows)&gt;0,N(Initial_Investment)&gt;0),N(Discount_Rate)&gt;-1),SUM(F15:F44),"—")</f>
        <v>19894.8159278738</v>
      </c>
      <c r="G45" s="40"/>
      <c r="H45" s="40"/>
    </row>
    <row r="46" customFormat="false" ht="25.5" hidden="false" customHeight="true" outlineLevel="0" collapsed="false">
      <c r="B46" s="20" t="s">
        <v>83</v>
      </c>
      <c r="C46" s="20"/>
      <c r="D46" s="20"/>
      <c r="E46" s="20"/>
      <c r="F46" s="20"/>
      <c r="G46" s="20"/>
      <c r="H46" s="20"/>
    </row>
  </sheetData>
  <mergeCells count="11">
    <mergeCell ref="E8:H8"/>
    <mergeCell ref="E10:H10"/>
    <mergeCell ref="J11:K12"/>
    <mergeCell ref="J18:K18"/>
    <mergeCell ref="J22:K27"/>
    <mergeCell ref="J30:K30"/>
    <mergeCell ref="J31:K31"/>
    <mergeCell ref="J32:K32"/>
    <mergeCell ref="J34:K35"/>
    <mergeCell ref="J36:K37"/>
    <mergeCell ref="B46:H46"/>
  </mergeCells>
  <conditionalFormatting sqref="J11">
    <cfRule type="expression" priority="2" aboveAverage="0" equalAverage="0" bottom="0" percent="0" rank="0" text="" dxfId="0">
      <formula>AND(ISNUMBER($J$11),$J$11&lt;0)</formula>
    </cfRule>
    <cfRule type="expression" priority="3" aboveAverage="0" equalAverage="0" bottom="0" percent="0" rank="0" text="" dxfId="0">
      <formula>J11="Not recovered"</formula>
    </cfRule>
  </conditionalFormatting>
  <conditionalFormatting sqref="K14">
    <cfRule type="expression" priority="4" aboveAverage="0" equalAverage="0" bottom="0" percent="0" rank="0" text="" dxfId="1">
      <formula>AND(ISNUMBER($K$14),$K$14&lt;0)</formula>
    </cfRule>
    <cfRule type="expression" priority="5" aboveAverage="0" equalAverage="0" bottom="0" percent="0" rank="0" text="" dxfId="1">
      <formula>K14="Not recovered"</formula>
    </cfRule>
  </conditionalFormatting>
  <conditionalFormatting sqref="K15">
    <cfRule type="expression" priority="6" aboveAverage="0" equalAverage="0" bottom="0" percent="0" rank="0" text="" dxfId="1">
      <formula>AND(ISNUMBER($K$15),$K$15&lt;0)</formula>
    </cfRule>
  </conditionalFormatting>
  <conditionalFormatting sqref="K16">
    <cfRule type="expression" priority="7" aboveAverage="0" equalAverage="0" bottom="0" percent="0" rank="0" text="" dxfId="1">
      <formula>AND(ISNUMBER($K$16),$K$16&lt;0)</formula>
    </cfRule>
  </conditionalFormatting>
  <conditionalFormatting sqref="K17">
    <cfRule type="expression" priority="8" aboveAverage="0" equalAverage="0" bottom="0" percent="0" rank="0" text="" dxfId="1">
      <formula>AND(ISNUMBER($K$17),$K$17&lt;0)</formula>
    </cfRule>
  </conditionalFormatting>
  <conditionalFormatting sqref="J30">
    <cfRule type="expression" priority="9" aboveAverage="0" equalAverage="0" bottom="0" percent="0" rank="0" text="" dxfId="2">
      <formula>LEFT(J30,5)="Check"</formula>
    </cfRule>
    <cfRule type="expression" priority="10" aboveAverage="0" equalAverage="0" bottom="0" percent="0" rank="0" text="" dxfId="3">
      <formula>LEFT(J30,2)="OK"</formula>
    </cfRule>
  </conditionalFormatting>
  <conditionalFormatting sqref="J31">
    <cfRule type="expression" priority="11" aboveAverage="0" equalAverage="0" bottom="0" percent="0" rank="0" text="" dxfId="2">
      <formula>LEFT(J31,5)="Check"</formula>
    </cfRule>
    <cfRule type="expression" priority="12" aboveAverage="0" equalAverage="0" bottom="0" percent="0" rank="0" text="" dxfId="3">
      <formula>LEFT(J31,2)="OK"</formula>
    </cfRule>
  </conditionalFormatting>
  <conditionalFormatting sqref="J32">
    <cfRule type="expression" priority="13" aboveAverage="0" equalAverage="0" bottom="0" percent="0" rank="0" text="" dxfId="2">
      <formula>LEFT(J32,5)="Check"</formula>
    </cfRule>
    <cfRule type="expression" priority="14" aboveAverage="0" equalAverage="0" bottom="0" percent="0" rank="0" text="" dxfId="3">
      <formula>LEFT(J32,2)="OK"</formula>
    </cfRule>
  </conditionalFormatting>
  <dataValidations count="3">
    <dataValidation allowBlank="true" error="Enter a number above zero." errorStyle="stop" errorTitle="Initial investment" operator="between" showDropDown="false" showErrorMessage="true" showInputMessage="false" sqref="D8" type="decimal">
      <formula1>-1000000000000000</formula1>
      <formula2>0</formula2>
    </dataValidation>
    <dataValidation allowBlank="true" error="Enter a rate above −100%, for example 10% or 0.10." errorStyle="stop" errorTitle="Discount rate" operator="greaterThan" showDropDown="false" showErrorMessage="true" showInputMessage="false" sqref="D10" type="decimal">
      <formula1>-1</formula1>
      <formula2>0</formula2>
    </dataValidation>
    <dataValidation allowBlank="true" error="Enter a number. Use a negative number for a year that costs money." errorStyle="stop" errorTitle="Cash flow" operator="between" showDropDown="false" showErrorMessage="true" showInputMessage="false" sqref="C15:C44" type="decimal">
      <formula1>-1000000000000000</formula1>
      <formula2>0</formula2>
    </dataValidation>
  </dataValidations>
  <printOptions headings="false" gridLines="false" gridLinesSet="true" horizontalCentered="true" verticalCentered="false"/>
  <pageMargins left="0.5" right="0.5" top="1" bottom="1"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4B8A6"/>
    <pageSetUpPr fitToPage="true"/>
  </sheetPr>
  <dimension ref="A1:N3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11"/>
    <col collapsed="false" customWidth="true" hidden="false" outlineLevel="0" max="4" min="3" style="0" width="18"/>
    <col collapsed="false" customWidth="true" hidden="false" outlineLevel="0" max="5" min="5" style="0" width="3"/>
    <col collapsed="false" customWidth="true" hidden="false" outlineLevel="0" max="13" min="6" style="0" width="10"/>
    <col collapsed="false" customWidth="true" hidden="false" outlineLevel="0" max="14" min="14" style="0" width="3"/>
  </cols>
  <sheetData>
    <row r="1" customFormat="false" ht="7.5" hidden="false" customHeight="true" outlineLevel="0" collapsed="false">
      <c r="A1" s="1"/>
      <c r="B1" s="1"/>
      <c r="C1" s="1"/>
      <c r="D1" s="1"/>
      <c r="E1" s="1"/>
      <c r="F1" s="1"/>
      <c r="G1" s="1"/>
      <c r="H1" s="1"/>
      <c r="I1" s="1"/>
      <c r="J1" s="1"/>
      <c r="K1" s="1"/>
      <c r="L1" s="1"/>
      <c r="M1" s="1"/>
      <c r="N1" s="1"/>
    </row>
    <row r="2" customFormat="false" ht="30" hidden="false" customHeight="true" outlineLevel="0" collapsed="false">
      <c r="A2" s="1"/>
      <c r="B2" s="2" t="s">
        <v>49</v>
      </c>
      <c r="C2" s="1"/>
      <c r="D2" s="1"/>
      <c r="E2" s="1"/>
      <c r="F2" s="1"/>
      <c r="G2" s="1"/>
      <c r="H2" s="1"/>
      <c r="I2" s="1"/>
      <c r="J2" s="1"/>
      <c r="K2" s="1"/>
      <c r="L2" s="1"/>
      <c r="M2" s="1"/>
      <c r="N2" s="1"/>
    </row>
    <row r="3" customFormat="false" ht="19.5" hidden="false" customHeight="true" outlineLevel="0" collapsed="false">
      <c r="A3" s="1"/>
      <c r="B3" s="3" t="s">
        <v>84</v>
      </c>
      <c r="C3" s="1"/>
      <c r="D3" s="1"/>
      <c r="E3" s="1"/>
      <c r="F3" s="1"/>
      <c r="G3" s="1"/>
      <c r="H3" s="1"/>
      <c r="I3" s="1"/>
      <c r="J3" s="1"/>
      <c r="K3" s="1"/>
      <c r="L3" s="1"/>
      <c r="M3" s="1"/>
      <c r="N3" s="1"/>
    </row>
    <row r="4" customFormat="false" ht="7.5" hidden="false" customHeight="true" outlineLevel="0" collapsed="false">
      <c r="A4" s="1"/>
      <c r="B4" s="1"/>
      <c r="C4" s="1"/>
      <c r="D4" s="1"/>
      <c r="E4" s="1"/>
      <c r="F4" s="1"/>
      <c r="G4" s="1"/>
      <c r="H4" s="1"/>
      <c r="I4" s="1"/>
      <c r="J4" s="1"/>
      <c r="K4" s="1"/>
      <c r="L4" s="1"/>
      <c r="M4" s="1"/>
      <c r="N4" s="1"/>
    </row>
    <row r="5" customFormat="false" ht="3" hidden="false" customHeight="true" outlineLevel="0" collapsed="false">
      <c r="A5" s="4"/>
      <c r="B5" s="4"/>
      <c r="C5" s="4"/>
      <c r="D5" s="4"/>
      <c r="E5" s="4"/>
      <c r="F5" s="4"/>
      <c r="G5" s="4"/>
      <c r="H5" s="4"/>
      <c r="I5" s="4"/>
      <c r="J5" s="4"/>
      <c r="K5" s="4"/>
      <c r="L5" s="4"/>
      <c r="M5" s="4"/>
      <c r="N5" s="4"/>
    </row>
    <row r="7" customFormat="false" ht="27.75" hidden="false" customHeight="true" outlineLevel="0" collapsed="false">
      <c r="B7" s="25" t="s">
        <v>68</v>
      </c>
      <c r="C7" s="26" t="s">
        <v>85</v>
      </c>
      <c r="D7" s="26" t="s">
        <v>86</v>
      </c>
    </row>
    <row r="8" customFormat="false" ht="15" hidden="false" customHeight="false" outlineLevel="0" collapsed="false">
      <c r="B8" s="41" t="n">
        <v>0</v>
      </c>
      <c r="C8" s="30" t="n">
        <f aca="false">-N(Initial_Investment)</f>
        <v>-20000</v>
      </c>
      <c r="D8" s="30" t="n">
        <f aca="false">-N(Initial_Investment)</f>
        <v>-20000</v>
      </c>
    </row>
    <row r="9" customFormat="false" ht="15" hidden="false" customHeight="false" outlineLevel="0" collapsed="false">
      <c r="B9" s="41" t="n">
        <v>1</v>
      </c>
      <c r="C9" s="30" t="n">
        <f aca="false">'Payback Calculator'!D15-N(Initial_Investment)</f>
        <v>-12000</v>
      </c>
      <c r="D9" s="30" t="n">
        <f aca="false">IF(N(Discount_Rate)&gt;-1,'Payback Calculator'!G15-N(Initial_Investment),0)</f>
        <v>-12727.2727272727</v>
      </c>
    </row>
    <row r="10" customFormat="false" ht="15" hidden="false" customHeight="false" outlineLevel="0" collapsed="false">
      <c r="B10" s="41" t="n">
        <v>2</v>
      </c>
      <c r="C10" s="30" t="n">
        <f aca="false">'Payback Calculator'!D16-N(Initial_Investment)</f>
        <v>-4000</v>
      </c>
      <c r="D10" s="30" t="n">
        <f aca="false">IF(N(Discount_Rate)&gt;-1,'Payback Calculator'!G16-N(Initial_Investment),0)</f>
        <v>-6115.70247933885</v>
      </c>
    </row>
    <row r="11" customFormat="false" ht="15" hidden="false" customHeight="false" outlineLevel="0" collapsed="false">
      <c r="B11" s="41" t="n">
        <v>3</v>
      </c>
      <c r="C11" s="30" t="n">
        <f aca="false">'Payback Calculator'!D17-N(Initial_Investment)</f>
        <v>4000</v>
      </c>
      <c r="D11" s="30" t="n">
        <f aca="false">IF(N(Discount_Rate)&gt;-1,'Payback Calculator'!G17-N(Initial_Investment),0)</f>
        <v>-105.184072126223</v>
      </c>
    </row>
    <row r="12" customFormat="false" ht="15" hidden="false" customHeight="false" outlineLevel="0" collapsed="false">
      <c r="B12" s="41" t="n">
        <v>4</v>
      </c>
      <c r="C12" s="30" t="n">
        <f aca="false">'Payback Calculator'!D18-N(Initial_Investment)</f>
        <v>4000</v>
      </c>
      <c r="D12" s="30" t="n">
        <f aca="false">IF(N(Discount_Rate)&gt;-1,'Payback Calculator'!G18-N(Initial_Investment),0)</f>
        <v>-105.184072126223</v>
      </c>
    </row>
    <row r="13" customFormat="false" ht="15" hidden="false" customHeight="false" outlineLevel="0" collapsed="false">
      <c r="B13" s="41" t="n">
        <v>5</v>
      </c>
      <c r="C13" s="30" t="n">
        <f aca="false">'Payback Calculator'!D19-N(Initial_Investment)</f>
        <v>4000</v>
      </c>
      <c r="D13" s="30" t="n">
        <f aca="false">IF(N(Discount_Rate)&gt;-1,'Payback Calculator'!G19-N(Initial_Investment),0)</f>
        <v>-105.184072126223</v>
      </c>
    </row>
    <row r="14" customFormat="false" ht="15" hidden="false" customHeight="false" outlineLevel="0" collapsed="false">
      <c r="B14" s="41" t="n">
        <v>6</v>
      </c>
      <c r="C14" s="30" t="n">
        <f aca="false">'Payback Calculator'!D20-N(Initial_Investment)</f>
        <v>4000</v>
      </c>
      <c r="D14" s="30" t="n">
        <f aca="false">IF(N(Discount_Rate)&gt;-1,'Payback Calculator'!G20-N(Initial_Investment),0)</f>
        <v>-105.184072126223</v>
      </c>
    </row>
    <row r="15" customFormat="false" ht="15" hidden="false" customHeight="false" outlineLevel="0" collapsed="false">
      <c r="B15" s="41" t="n">
        <v>7</v>
      </c>
      <c r="C15" s="30" t="n">
        <f aca="false">'Payback Calculator'!D21-N(Initial_Investment)</f>
        <v>4000</v>
      </c>
      <c r="D15" s="30" t="n">
        <f aca="false">IF(N(Discount_Rate)&gt;-1,'Payback Calculator'!G21-N(Initial_Investment),0)</f>
        <v>-105.184072126223</v>
      </c>
    </row>
    <row r="16" customFormat="false" ht="15" hidden="false" customHeight="false" outlineLevel="0" collapsed="false">
      <c r="B16" s="41" t="n">
        <v>8</v>
      </c>
      <c r="C16" s="30" t="n">
        <f aca="false">'Payback Calculator'!D22-N(Initial_Investment)</f>
        <v>4000</v>
      </c>
      <c r="D16" s="30" t="n">
        <f aca="false">IF(N(Discount_Rate)&gt;-1,'Payback Calculator'!G22-N(Initial_Investment),0)</f>
        <v>-105.184072126223</v>
      </c>
    </row>
    <row r="17" customFormat="false" ht="15" hidden="false" customHeight="false" outlineLevel="0" collapsed="false">
      <c r="B17" s="41" t="n">
        <v>9</v>
      </c>
      <c r="C17" s="30" t="n">
        <f aca="false">'Payback Calculator'!D23-N(Initial_Investment)</f>
        <v>4000</v>
      </c>
      <c r="D17" s="30" t="n">
        <f aca="false">IF(N(Discount_Rate)&gt;-1,'Payback Calculator'!G23-N(Initial_Investment),0)</f>
        <v>-105.184072126223</v>
      </c>
    </row>
    <row r="18" customFormat="false" ht="15" hidden="false" customHeight="false" outlineLevel="0" collapsed="false">
      <c r="B18" s="41" t="n">
        <v>10</v>
      </c>
      <c r="C18" s="30" t="n">
        <f aca="false">'Payback Calculator'!D24-N(Initial_Investment)</f>
        <v>4000</v>
      </c>
      <c r="D18" s="30" t="n">
        <f aca="false">IF(N(Discount_Rate)&gt;-1,'Payback Calculator'!G24-N(Initial_Investment),0)</f>
        <v>-105.184072126223</v>
      </c>
    </row>
    <row r="19" customFormat="false" ht="15" hidden="false" customHeight="false" outlineLevel="0" collapsed="false">
      <c r="B19" s="41" t="n">
        <v>11</v>
      </c>
      <c r="C19" s="30" t="n">
        <f aca="false">'Payback Calculator'!D25-N(Initial_Investment)</f>
        <v>4000</v>
      </c>
      <c r="D19" s="30" t="n">
        <f aca="false">IF(N(Discount_Rate)&gt;-1,'Payback Calculator'!G25-N(Initial_Investment),0)</f>
        <v>-105.184072126223</v>
      </c>
    </row>
    <row r="20" customFormat="false" ht="15" hidden="false" customHeight="false" outlineLevel="0" collapsed="false">
      <c r="B20" s="41" t="n">
        <v>12</v>
      </c>
      <c r="C20" s="30" t="n">
        <f aca="false">'Payback Calculator'!D26-N(Initial_Investment)</f>
        <v>4000</v>
      </c>
      <c r="D20" s="30" t="n">
        <f aca="false">IF(N(Discount_Rate)&gt;-1,'Payback Calculator'!G26-N(Initial_Investment),0)</f>
        <v>-105.184072126223</v>
      </c>
    </row>
    <row r="21" customFormat="false" ht="15" hidden="false" customHeight="false" outlineLevel="0" collapsed="false">
      <c r="B21" s="41" t="n">
        <v>13</v>
      </c>
      <c r="C21" s="30" t="n">
        <f aca="false">'Payback Calculator'!D27-N(Initial_Investment)</f>
        <v>4000</v>
      </c>
      <c r="D21" s="30" t="n">
        <f aca="false">IF(N(Discount_Rate)&gt;-1,'Payback Calculator'!G27-N(Initial_Investment),0)</f>
        <v>-105.184072126223</v>
      </c>
    </row>
    <row r="22" customFormat="false" ht="15" hidden="false" customHeight="false" outlineLevel="0" collapsed="false">
      <c r="B22" s="41" t="n">
        <v>14</v>
      </c>
      <c r="C22" s="30" t="n">
        <f aca="false">'Payback Calculator'!D28-N(Initial_Investment)</f>
        <v>4000</v>
      </c>
      <c r="D22" s="30" t="n">
        <f aca="false">IF(N(Discount_Rate)&gt;-1,'Payback Calculator'!G28-N(Initial_Investment),0)</f>
        <v>-105.184072126223</v>
      </c>
    </row>
    <row r="23" customFormat="false" ht="15" hidden="false" customHeight="false" outlineLevel="0" collapsed="false">
      <c r="B23" s="41" t="n">
        <v>15</v>
      </c>
      <c r="C23" s="30" t="n">
        <f aca="false">'Payback Calculator'!D29-N(Initial_Investment)</f>
        <v>4000</v>
      </c>
      <c r="D23" s="30" t="n">
        <f aca="false">IF(N(Discount_Rate)&gt;-1,'Payback Calculator'!G29-N(Initial_Investment),0)</f>
        <v>-105.184072126223</v>
      </c>
    </row>
    <row r="24" customFormat="false" ht="15" hidden="false" customHeight="false" outlineLevel="0" collapsed="false">
      <c r="B24" s="41" t="n">
        <v>16</v>
      </c>
      <c r="C24" s="30" t="n">
        <f aca="false">'Payback Calculator'!D30-N(Initial_Investment)</f>
        <v>4000</v>
      </c>
      <c r="D24" s="30" t="n">
        <f aca="false">IF(N(Discount_Rate)&gt;-1,'Payback Calculator'!G30-N(Initial_Investment),0)</f>
        <v>-105.184072126223</v>
      </c>
    </row>
    <row r="25" customFormat="false" ht="15" hidden="false" customHeight="false" outlineLevel="0" collapsed="false">
      <c r="B25" s="41" t="n">
        <v>17</v>
      </c>
      <c r="C25" s="30" t="n">
        <f aca="false">'Payback Calculator'!D31-N(Initial_Investment)</f>
        <v>4000</v>
      </c>
      <c r="D25" s="30" t="n">
        <f aca="false">IF(N(Discount_Rate)&gt;-1,'Payback Calculator'!G31-N(Initial_Investment),0)</f>
        <v>-105.184072126223</v>
      </c>
    </row>
    <row r="26" customFormat="false" ht="15" hidden="false" customHeight="true" outlineLevel="0" collapsed="false">
      <c r="B26" s="41" t="n">
        <v>18</v>
      </c>
      <c r="C26" s="30" t="n">
        <f aca="false">'Payback Calculator'!D32-N(Initial_Investment)</f>
        <v>4000</v>
      </c>
      <c r="D26" s="30" t="n">
        <f aca="false">IF(N(Discount_Rate)&gt;-1,'Payback Calculator'!G32-N(Initial_Investment),0)</f>
        <v>-105.184072126223</v>
      </c>
      <c r="F26" s="20" t="s">
        <v>87</v>
      </c>
      <c r="G26" s="20"/>
      <c r="H26" s="20"/>
      <c r="I26" s="20"/>
      <c r="J26" s="20"/>
      <c r="K26" s="20"/>
      <c r="L26" s="20"/>
      <c r="M26" s="20"/>
    </row>
    <row r="27" customFormat="false" ht="15" hidden="false" customHeight="false" outlineLevel="0" collapsed="false">
      <c r="B27" s="41" t="n">
        <v>19</v>
      </c>
      <c r="C27" s="30" t="n">
        <f aca="false">'Payback Calculator'!D33-N(Initial_Investment)</f>
        <v>4000</v>
      </c>
      <c r="D27" s="30" t="n">
        <f aca="false">IF(N(Discount_Rate)&gt;-1,'Payback Calculator'!G33-N(Initial_Investment),0)</f>
        <v>-105.184072126223</v>
      </c>
      <c r="F27" s="20"/>
      <c r="G27" s="20"/>
      <c r="H27" s="20"/>
      <c r="I27" s="20"/>
      <c r="J27" s="20"/>
      <c r="K27" s="20"/>
      <c r="L27" s="20"/>
      <c r="M27" s="20"/>
    </row>
    <row r="28" customFormat="false" ht="15" hidden="false" customHeight="false" outlineLevel="0" collapsed="false">
      <c r="B28" s="41" t="n">
        <v>20</v>
      </c>
      <c r="C28" s="30" t="n">
        <f aca="false">'Payback Calculator'!D34-N(Initial_Investment)</f>
        <v>4000</v>
      </c>
      <c r="D28" s="30" t="n">
        <f aca="false">IF(N(Discount_Rate)&gt;-1,'Payback Calculator'!G34-N(Initial_Investment),0)</f>
        <v>-105.184072126223</v>
      </c>
      <c r="F28" s="20"/>
      <c r="G28" s="20"/>
      <c r="H28" s="20"/>
      <c r="I28" s="20"/>
      <c r="J28" s="20"/>
      <c r="K28" s="20"/>
      <c r="L28" s="20"/>
      <c r="M28" s="20"/>
    </row>
    <row r="29" customFormat="false" ht="15" hidden="false" customHeight="false" outlineLevel="0" collapsed="false">
      <c r="B29" s="41" t="n">
        <v>21</v>
      </c>
      <c r="C29" s="30" t="n">
        <f aca="false">'Payback Calculator'!D35-N(Initial_Investment)</f>
        <v>4000</v>
      </c>
      <c r="D29" s="30" t="n">
        <f aca="false">IF(N(Discount_Rate)&gt;-1,'Payback Calculator'!G35-N(Initial_Investment),0)</f>
        <v>-105.184072126223</v>
      </c>
    </row>
    <row r="30" customFormat="false" ht="15" hidden="false" customHeight="false" outlineLevel="0" collapsed="false">
      <c r="B30" s="41" t="n">
        <v>22</v>
      </c>
      <c r="C30" s="30" t="n">
        <f aca="false">'Payback Calculator'!D36-N(Initial_Investment)</f>
        <v>4000</v>
      </c>
      <c r="D30" s="30" t="n">
        <f aca="false">IF(N(Discount_Rate)&gt;-1,'Payback Calculator'!G36-N(Initial_Investment),0)</f>
        <v>-105.184072126223</v>
      </c>
    </row>
    <row r="31" customFormat="false" ht="15" hidden="false" customHeight="false" outlineLevel="0" collapsed="false">
      <c r="B31" s="41" t="n">
        <v>23</v>
      </c>
      <c r="C31" s="30" t="n">
        <f aca="false">'Payback Calculator'!D37-N(Initial_Investment)</f>
        <v>4000</v>
      </c>
      <c r="D31" s="30" t="n">
        <f aca="false">IF(N(Discount_Rate)&gt;-1,'Payback Calculator'!G37-N(Initial_Investment),0)</f>
        <v>-105.184072126223</v>
      </c>
    </row>
    <row r="32" customFormat="false" ht="15" hidden="false" customHeight="false" outlineLevel="0" collapsed="false">
      <c r="B32" s="41" t="n">
        <v>24</v>
      </c>
      <c r="C32" s="30" t="n">
        <f aca="false">'Payback Calculator'!D38-N(Initial_Investment)</f>
        <v>4000</v>
      </c>
      <c r="D32" s="30" t="n">
        <f aca="false">IF(N(Discount_Rate)&gt;-1,'Payback Calculator'!G38-N(Initial_Investment),0)</f>
        <v>-105.184072126223</v>
      </c>
    </row>
    <row r="33" customFormat="false" ht="15" hidden="false" customHeight="false" outlineLevel="0" collapsed="false">
      <c r="B33" s="41" t="n">
        <v>25</v>
      </c>
      <c r="C33" s="30" t="n">
        <f aca="false">'Payback Calculator'!D39-N(Initial_Investment)</f>
        <v>4000</v>
      </c>
      <c r="D33" s="30" t="n">
        <f aca="false">IF(N(Discount_Rate)&gt;-1,'Payback Calculator'!G39-N(Initial_Investment),0)</f>
        <v>-105.184072126223</v>
      </c>
    </row>
    <row r="34" customFormat="false" ht="15" hidden="false" customHeight="false" outlineLevel="0" collapsed="false">
      <c r="B34" s="41" t="n">
        <v>26</v>
      </c>
      <c r="C34" s="30" t="n">
        <f aca="false">'Payback Calculator'!D40-N(Initial_Investment)</f>
        <v>4000</v>
      </c>
      <c r="D34" s="30" t="n">
        <f aca="false">IF(N(Discount_Rate)&gt;-1,'Payback Calculator'!G40-N(Initial_Investment),0)</f>
        <v>-105.184072126223</v>
      </c>
    </row>
    <row r="35" customFormat="false" ht="15" hidden="false" customHeight="false" outlineLevel="0" collapsed="false">
      <c r="B35" s="41" t="n">
        <v>27</v>
      </c>
      <c r="C35" s="30" t="n">
        <f aca="false">'Payback Calculator'!D41-N(Initial_Investment)</f>
        <v>4000</v>
      </c>
      <c r="D35" s="30" t="n">
        <f aca="false">IF(N(Discount_Rate)&gt;-1,'Payback Calculator'!G41-N(Initial_Investment),0)</f>
        <v>-105.184072126223</v>
      </c>
    </row>
    <row r="36" customFormat="false" ht="15" hidden="false" customHeight="false" outlineLevel="0" collapsed="false">
      <c r="B36" s="41" t="n">
        <v>28</v>
      </c>
      <c r="C36" s="30" t="n">
        <f aca="false">'Payback Calculator'!D42-N(Initial_Investment)</f>
        <v>4000</v>
      </c>
      <c r="D36" s="30" t="n">
        <f aca="false">IF(N(Discount_Rate)&gt;-1,'Payback Calculator'!G42-N(Initial_Investment),0)</f>
        <v>-105.184072126223</v>
      </c>
    </row>
    <row r="37" customFormat="false" ht="15" hidden="false" customHeight="false" outlineLevel="0" collapsed="false">
      <c r="B37" s="41" t="n">
        <v>29</v>
      </c>
      <c r="C37" s="30" t="n">
        <f aca="false">'Payback Calculator'!D43-N(Initial_Investment)</f>
        <v>4000</v>
      </c>
      <c r="D37" s="30" t="n">
        <f aca="false">IF(N(Discount_Rate)&gt;-1,'Payback Calculator'!G43-N(Initial_Investment),0)</f>
        <v>-105.184072126223</v>
      </c>
    </row>
    <row r="38" customFormat="false" ht="15" hidden="false" customHeight="false" outlineLevel="0" collapsed="false">
      <c r="B38" s="41" t="n">
        <v>30</v>
      </c>
      <c r="C38" s="30" t="n">
        <f aca="false">'Payback Calculator'!D44-N(Initial_Investment)</f>
        <v>4000</v>
      </c>
      <c r="D38" s="30" t="n">
        <f aca="false">IF(N(Discount_Rate)&gt;-1,'Payback Calculator'!G44-N(Initial_Investment),0)</f>
        <v>-105.184072126223</v>
      </c>
    </row>
  </sheetData>
  <mergeCells count="1">
    <mergeCell ref="F26:M28"/>
  </mergeCells>
  <conditionalFormatting sqref="C8">
    <cfRule type="expression" priority="2" aboveAverage="0" equalAverage="0" bottom="0" percent="0" rank="0" text="" dxfId="4">
      <formula>AND(ISNUMBER($C$8),$C$8&lt;0)</formula>
    </cfRule>
  </conditionalFormatting>
  <conditionalFormatting sqref="D8">
    <cfRule type="expression" priority="3" aboveAverage="0" equalAverage="0" bottom="0" percent="0" rank="0" text="" dxfId="4">
      <formula>AND(ISNUMBER($D$8),$D$8&lt;0)</formula>
    </cfRule>
  </conditionalFormatting>
  <conditionalFormatting sqref="C9">
    <cfRule type="expression" priority="4" aboveAverage="0" equalAverage="0" bottom="0" percent="0" rank="0" text="" dxfId="4">
      <formula>AND(ISNUMBER($C$9),$C$9&lt;0)</formula>
    </cfRule>
  </conditionalFormatting>
  <conditionalFormatting sqref="D9">
    <cfRule type="expression" priority="5" aboveAverage="0" equalAverage="0" bottom="0" percent="0" rank="0" text="" dxfId="4">
      <formula>AND(ISNUMBER($D$9),$D$9&lt;0)</formula>
    </cfRule>
  </conditionalFormatting>
  <conditionalFormatting sqref="C10">
    <cfRule type="expression" priority="6" aboveAverage="0" equalAverage="0" bottom="0" percent="0" rank="0" text="" dxfId="4">
      <formula>AND(ISNUMBER($C$10),$C$10&lt;0)</formula>
    </cfRule>
  </conditionalFormatting>
  <conditionalFormatting sqref="D10">
    <cfRule type="expression" priority="7" aboveAverage="0" equalAverage="0" bottom="0" percent="0" rank="0" text="" dxfId="4">
      <formula>AND(ISNUMBER($D$10),$D$10&lt;0)</formula>
    </cfRule>
  </conditionalFormatting>
  <conditionalFormatting sqref="C11">
    <cfRule type="expression" priority="8" aboveAverage="0" equalAverage="0" bottom="0" percent="0" rank="0" text="" dxfId="4">
      <formula>AND(ISNUMBER($C$11),$C$11&lt;0)</formula>
    </cfRule>
  </conditionalFormatting>
  <conditionalFormatting sqref="D11">
    <cfRule type="expression" priority="9" aboveAverage="0" equalAverage="0" bottom="0" percent="0" rank="0" text="" dxfId="4">
      <formula>AND(ISNUMBER($D$11),$D$11&lt;0)</formula>
    </cfRule>
  </conditionalFormatting>
  <conditionalFormatting sqref="C12">
    <cfRule type="expression" priority="10" aboveAverage="0" equalAverage="0" bottom="0" percent="0" rank="0" text="" dxfId="4">
      <formula>AND(ISNUMBER($C$12),$C$12&lt;0)</formula>
    </cfRule>
  </conditionalFormatting>
  <conditionalFormatting sqref="D12">
    <cfRule type="expression" priority="11" aboveAverage="0" equalAverage="0" bottom="0" percent="0" rank="0" text="" dxfId="4">
      <formula>AND(ISNUMBER($D$12),$D$12&lt;0)</formula>
    </cfRule>
  </conditionalFormatting>
  <conditionalFormatting sqref="C13">
    <cfRule type="expression" priority="12" aboveAverage="0" equalAverage="0" bottom="0" percent="0" rank="0" text="" dxfId="4">
      <formula>AND(ISNUMBER($C$13),$C$13&lt;0)</formula>
    </cfRule>
  </conditionalFormatting>
  <conditionalFormatting sqref="D13">
    <cfRule type="expression" priority="13" aboveAverage="0" equalAverage="0" bottom="0" percent="0" rank="0" text="" dxfId="4">
      <formula>AND(ISNUMBER($D$13),$D$13&lt;0)</formula>
    </cfRule>
  </conditionalFormatting>
  <conditionalFormatting sqref="C14">
    <cfRule type="expression" priority="14" aboveAverage="0" equalAverage="0" bottom="0" percent="0" rank="0" text="" dxfId="4">
      <formula>AND(ISNUMBER($C$14),$C$14&lt;0)</formula>
    </cfRule>
  </conditionalFormatting>
  <conditionalFormatting sqref="D14">
    <cfRule type="expression" priority="15" aboveAverage="0" equalAverage="0" bottom="0" percent="0" rank="0" text="" dxfId="4">
      <formula>AND(ISNUMBER($D$14),$D$14&lt;0)</formula>
    </cfRule>
  </conditionalFormatting>
  <conditionalFormatting sqref="C15">
    <cfRule type="expression" priority="16" aboveAverage="0" equalAverage="0" bottom="0" percent="0" rank="0" text="" dxfId="4">
      <formula>AND(ISNUMBER($C$15),$C$15&lt;0)</formula>
    </cfRule>
  </conditionalFormatting>
  <conditionalFormatting sqref="D15">
    <cfRule type="expression" priority="17" aboveAverage="0" equalAverage="0" bottom="0" percent="0" rank="0" text="" dxfId="4">
      <formula>AND(ISNUMBER($D$15),$D$15&lt;0)</formula>
    </cfRule>
  </conditionalFormatting>
  <conditionalFormatting sqref="C16">
    <cfRule type="expression" priority="18" aboveAverage="0" equalAverage="0" bottom="0" percent="0" rank="0" text="" dxfId="4">
      <formula>AND(ISNUMBER($C$16),$C$16&lt;0)</formula>
    </cfRule>
  </conditionalFormatting>
  <conditionalFormatting sqref="D16">
    <cfRule type="expression" priority="19" aboveAverage="0" equalAverage="0" bottom="0" percent="0" rank="0" text="" dxfId="4">
      <formula>AND(ISNUMBER($D$16),$D$16&lt;0)</formula>
    </cfRule>
  </conditionalFormatting>
  <conditionalFormatting sqref="C17">
    <cfRule type="expression" priority="20" aboveAverage="0" equalAverage="0" bottom="0" percent="0" rank="0" text="" dxfId="4">
      <formula>AND(ISNUMBER($C$17),$C$17&lt;0)</formula>
    </cfRule>
  </conditionalFormatting>
  <conditionalFormatting sqref="D17">
    <cfRule type="expression" priority="21" aboveAverage="0" equalAverage="0" bottom="0" percent="0" rank="0" text="" dxfId="4">
      <formula>AND(ISNUMBER($D$17),$D$17&lt;0)</formula>
    </cfRule>
  </conditionalFormatting>
  <conditionalFormatting sqref="C18">
    <cfRule type="expression" priority="22" aboveAverage="0" equalAverage="0" bottom="0" percent="0" rank="0" text="" dxfId="4">
      <formula>AND(ISNUMBER($C$18),$C$18&lt;0)</formula>
    </cfRule>
  </conditionalFormatting>
  <conditionalFormatting sqref="D18">
    <cfRule type="expression" priority="23" aboveAverage="0" equalAverage="0" bottom="0" percent="0" rank="0" text="" dxfId="4">
      <formula>AND(ISNUMBER($D$18),$D$18&lt;0)</formula>
    </cfRule>
  </conditionalFormatting>
  <conditionalFormatting sqref="C19">
    <cfRule type="expression" priority="24" aboveAverage="0" equalAverage="0" bottom="0" percent="0" rank="0" text="" dxfId="4">
      <formula>AND(ISNUMBER($C$19),$C$19&lt;0)</formula>
    </cfRule>
  </conditionalFormatting>
  <conditionalFormatting sqref="D19">
    <cfRule type="expression" priority="25" aboveAverage="0" equalAverage="0" bottom="0" percent="0" rank="0" text="" dxfId="4">
      <formula>AND(ISNUMBER($D$19),$D$19&lt;0)</formula>
    </cfRule>
  </conditionalFormatting>
  <conditionalFormatting sqref="C20">
    <cfRule type="expression" priority="26" aboveAverage="0" equalAverage="0" bottom="0" percent="0" rank="0" text="" dxfId="4">
      <formula>AND(ISNUMBER($C$20),$C$20&lt;0)</formula>
    </cfRule>
  </conditionalFormatting>
  <conditionalFormatting sqref="D20">
    <cfRule type="expression" priority="27" aboveAverage="0" equalAverage="0" bottom="0" percent="0" rank="0" text="" dxfId="4">
      <formula>AND(ISNUMBER($D$20),$D$20&lt;0)</formula>
    </cfRule>
  </conditionalFormatting>
  <conditionalFormatting sqref="C21">
    <cfRule type="expression" priority="28" aboveAverage="0" equalAverage="0" bottom="0" percent="0" rank="0" text="" dxfId="4">
      <formula>AND(ISNUMBER($C$21),$C$21&lt;0)</formula>
    </cfRule>
  </conditionalFormatting>
  <conditionalFormatting sqref="D21">
    <cfRule type="expression" priority="29" aboveAverage="0" equalAverage="0" bottom="0" percent="0" rank="0" text="" dxfId="4">
      <formula>AND(ISNUMBER($D$21),$D$21&lt;0)</formula>
    </cfRule>
  </conditionalFormatting>
  <conditionalFormatting sqref="C22">
    <cfRule type="expression" priority="30" aboveAverage="0" equalAverage="0" bottom="0" percent="0" rank="0" text="" dxfId="4">
      <formula>AND(ISNUMBER($C$22),$C$22&lt;0)</formula>
    </cfRule>
  </conditionalFormatting>
  <conditionalFormatting sqref="D22">
    <cfRule type="expression" priority="31" aboveAverage="0" equalAverage="0" bottom="0" percent="0" rank="0" text="" dxfId="4">
      <formula>AND(ISNUMBER($D$22),$D$22&lt;0)</formula>
    </cfRule>
  </conditionalFormatting>
  <conditionalFormatting sqref="C23">
    <cfRule type="expression" priority="32" aboveAverage="0" equalAverage="0" bottom="0" percent="0" rank="0" text="" dxfId="4">
      <formula>AND(ISNUMBER($C$23),$C$23&lt;0)</formula>
    </cfRule>
  </conditionalFormatting>
  <conditionalFormatting sqref="D23">
    <cfRule type="expression" priority="33" aboveAverage="0" equalAverage="0" bottom="0" percent="0" rank="0" text="" dxfId="4">
      <formula>AND(ISNUMBER($D$23),$D$23&lt;0)</formula>
    </cfRule>
  </conditionalFormatting>
  <conditionalFormatting sqref="C24">
    <cfRule type="expression" priority="34" aboveAverage="0" equalAverage="0" bottom="0" percent="0" rank="0" text="" dxfId="4">
      <formula>AND(ISNUMBER($C$24),$C$24&lt;0)</formula>
    </cfRule>
  </conditionalFormatting>
  <conditionalFormatting sqref="D24">
    <cfRule type="expression" priority="35" aboveAverage="0" equalAverage="0" bottom="0" percent="0" rank="0" text="" dxfId="4">
      <formula>AND(ISNUMBER($D$24),$D$24&lt;0)</formula>
    </cfRule>
  </conditionalFormatting>
  <conditionalFormatting sqref="C25">
    <cfRule type="expression" priority="36" aboveAverage="0" equalAverage="0" bottom="0" percent="0" rank="0" text="" dxfId="4">
      <formula>AND(ISNUMBER($C$25),$C$25&lt;0)</formula>
    </cfRule>
  </conditionalFormatting>
  <conditionalFormatting sqref="D25">
    <cfRule type="expression" priority="37" aboveAverage="0" equalAverage="0" bottom="0" percent="0" rank="0" text="" dxfId="4">
      <formula>AND(ISNUMBER($D$25),$D$25&lt;0)</formula>
    </cfRule>
  </conditionalFormatting>
  <conditionalFormatting sqref="C26">
    <cfRule type="expression" priority="38" aboveAverage="0" equalAverage="0" bottom="0" percent="0" rank="0" text="" dxfId="4">
      <formula>AND(ISNUMBER($C$26),$C$26&lt;0)</formula>
    </cfRule>
  </conditionalFormatting>
  <conditionalFormatting sqref="D26">
    <cfRule type="expression" priority="39" aboveAverage="0" equalAverage="0" bottom="0" percent="0" rank="0" text="" dxfId="4">
      <formula>AND(ISNUMBER($D$26),$D$26&lt;0)</formula>
    </cfRule>
  </conditionalFormatting>
  <conditionalFormatting sqref="C27">
    <cfRule type="expression" priority="40" aboveAverage="0" equalAverage="0" bottom="0" percent="0" rank="0" text="" dxfId="4">
      <formula>AND(ISNUMBER($C$27),$C$27&lt;0)</formula>
    </cfRule>
  </conditionalFormatting>
  <conditionalFormatting sqref="D27">
    <cfRule type="expression" priority="41" aboveAverage="0" equalAverage="0" bottom="0" percent="0" rank="0" text="" dxfId="4">
      <formula>AND(ISNUMBER($D$27),$D$27&lt;0)</formula>
    </cfRule>
  </conditionalFormatting>
  <conditionalFormatting sqref="C28">
    <cfRule type="expression" priority="42" aboveAverage="0" equalAverage="0" bottom="0" percent="0" rank="0" text="" dxfId="4">
      <formula>AND(ISNUMBER($C$28),$C$28&lt;0)</formula>
    </cfRule>
  </conditionalFormatting>
  <conditionalFormatting sqref="D28">
    <cfRule type="expression" priority="43" aboveAverage="0" equalAverage="0" bottom="0" percent="0" rank="0" text="" dxfId="4">
      <formula>AND(ISNUMBER($D$28),$D$28&lt;0)</formula>
    </cfRule>
  </conditionalFormatting>
  <conditionalFormatting sqref="C29">
    <cfRule type="expression" priority="44" aboveAverage="0" equalAverage="0" bottom="0" percent="0" rank="0" text="" dxfId="4">
      <formula>AND(ISNUMBER($C$29),$C$29&lt;0)</formula>
    </cfRule>
  </conditionalFormatting>
  <conditionalFormatting sqref="D29">
    <cfRule type="expression" priority="45" aboveAverage="0" equalAverage="0" bottom="0" percent="0" rank="0" text="" dxfId="4">
      <formula>AND(ISNUMBER($D$29),$D$29&lt;0)</formula>
    </cfRule>
  </conditionalFormatting>
  <conditionalFormatting sqref="C30">
    <cfRule type="expression" priority="46" aboveAverage="0" equalAverage="0" bottom="0" percent="0" rank="0" text="" dxfId="4">
      <formula>AND(ISNUMBER($C$30),$C$30&lt;0)</formula>
    </cfRule>
  </conditionalFormatting>
  <conditionalFormatting sqref="D30">
    <cfRule type="expression" priority="47" aboveAverage="0" equalAverage="0" bottom="0" percent="0" rank="0" text="" dxfId="4">
      <formula>AND(ISNUMBER($D$30),$D$30&lt;0)</formula>
    </cfRule>
  </conditionalFormatting>
  <conditionalFormatting sqref="C31">
    <cfRule type="expression" priority="48" aboveAverage="0" equalAverage="0" bottom="0" percent="0" rank="0" text="" dxfId="4">
      <formula>AND(ISNUMBER($C$31),$C$31&lt;0)</formula>
    </cfRule>
  </conditionalFormatting>
  <conditionalFormatting sqref="D31">
    <cfRule type="expression" priority="49" aboveAverage="0" equalAverage="0" bottom="0" percent="0" rank="0" text="" dxfId="4">
      <formula>AND(ISNUMBER($D$31),$D$31&lt;0)</formula>
    </cfRule>
  </conditionalFormatting>
  <conditionalFormatting sqref="C32">
    <cfRule type="expression" priority="50" aboveAverage="0" equalAverage="0" bottom="0" percent="0" rank="0" text="" dxfId="4">
      <formula>AND(ISNUMBER($C$32),$C$32&lt;0)</formula>
    </cfRule>
  </conditionalFormatting>
  <conditionalFormatting sqref="D32">
    <cfRule type="expression" priority="51" aboveAverage="0" equalAverage="0" bottom="0" percent="0" rank="0" text="" dxfId="4">
      <formula>AND(ISNUMBER($D$32),$D$32&lt;0)</formula>
    </cfRule>
  </conditionalFormatting>
  <conditionalFormatting sqref="C33">
    <cfRule type="expression" priority="52" aboveAverage="0" equalAverage="0" bottom="0" percent="0" rank="0" text="" dxfId="4">
      <formula>AND(ISNUMBER($C$33),$C$33&lt;0)</formula>
    </cfRule>
  </conditionalFormatting>
  <conditionalFormatting sqref="D33">
    <cfRule type="expression" priority="53" aboveAverage="0" equalAverage="0" bottom="0" percent="0" rank="0" text="" dxfId="4">
      <formula>AND(ISNUMBER($D$33),$D$33&lt;0)</formula>
    </cfRule>
  </conditionalFormatting>
  <conditionalFormatting sqref="C34">
    <cfRule type="expression" priority="54" aboveAverage="0" equalAverage="0" bottom="0" percent="0" rank="0" text="" dxfId="4">
      <formula>AND(ISNUMBER($C$34),$C$34&lt;0)</formula>
    </cfRule>
  </conditionalFormatting>
  <conditionalFormatting sqref="D34">
    <cfRule type="expression" priority="55" aboveAverage="0" equalAverage="0" bottom="0" percent="0" rank="0" text="" dxfId="4">
      <formula>AND(ISNUMBER($D$34),$D$34&lt;0)</formula>
    </cfRule>
  </conditionalFormatting>
  <conditionalFormatting sqref="C35">
    <cfRule type="expression" priority="56" aboveAverage="0" equalAverage="0" bottom="0" percent="0" rank="0" text="" dxfId="4">
      <formula>AND(ISNUMBER($C$35),$C$35&lt;0)</formula>
    </cfRule>
  </conditionalFormatting>
  <conditionalFormatting sqref="D35">
    <cfRule type="expression" priority="57" aboveAverage="0" equalAverage="0" bottom="0" percent="0" rank="0" text="" dxfId="4">
      <formula>AND(ISNUMBER($D$35),$D$35&lt;0)</formula>
    </cfRule>
  </conditionalFormatting>
  <conditionalFormatting sqref="C36">
    <cfRule type="expression" priority="58" aboveAverage="0" equalAverage="0" bottom="0" percent="0" rank="0" text="" dxfId="4">
      <formula>AND(ISNUMBER($C$36),$C$36&lt;0)</formula>
    </cfRule>
  </conditionalFormatting>
  <conditionalFormatting sqref="D36">
    <cfRule type="expression" priority="59" aboveAverage="0" equalAverage="0" bottom="0" percent="0" rank="0" text="" dxfId="4">
      <formula>AND(ISNUMBER($D$36),$D$36&lt;0)</formula>
    </cfRule>
  </conditionalFormatting>
  <conditionalFormatting sqref="C37">
    <cfRule type="expression" priority="60" aboveAverage="0" equalAverage="0" bottom="0" percent="0" rank="0" text="" dxfId="4">
      <formula>AND(ISNUMBER($C$37),$C$37&lt;0)</formula>
    </cfRule>
  </conditionalFormatting>
  <conditionalFormatting sqref="D37">
    <cfRule type="expression" priority="61" aboveAverage="0" equalAverage="0" bottom="0" percent="0" rank="0" text="" dxfId="4">
      <formula>AND(ISNUMBER($D$37),$D$37&lt;0)</formula>
    </cfRule>
  </conditionalFormatting>
  <conditionalFormatting sqref="C38">
    <cfRule type="expression" priority="62" aboveAverage="0" equalAverage="0" bottom="0" percent="0" rank="0" text="" dxfId="4">
      <formula>AND(ISNUMBER($C$38),$C$38&lt;0)</formula>
    </cfRule>
  </conditionalFormatting>
  <conditionalFormatting sqref="D38">
    <cfRule type="expression" priority="63" aboveAverage="0" equalAverage="0" bottom="0" percent="0" rank="0" text="" dxfId="4">
      <formula>AND(ISNUMBER($D$38),$D$38&lt;0)</formula>
    </cfRule>
  </conditionalFormatting>
  <printOptions headings="false" gridLines="false" gridLinesSet="true" horizontalCentered="true" verticalCentered="false"/>
  <pageMargins left="0.5" right="0.5" top="1" bottom="1"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4B8A6"/>
    <pageSetUpPr fitToPage="true"/>
  </sheetPr>
  <dimension ref="A1:G7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7" topLeftCell="C8" activePane="bottomRight" state="frozen"/>
      <selection pane="topLeft" activeCell="A1" activeCellId="0" sqref="A1"/>
      <selection pane="topRight" activeCell="C1" activeCellId="0" sqref="C1"/>
      <selection pane="bottomLeft" activeCell="A8" activeCellId="0" sqref="A8"/>
      <selection pane="bottomRigh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30"/>
    <col collapsed="false" customWidth="true" hidden="false" outlineLevel="0" max="6" min="3" style="0" width="17"/>
    <col collapsed="false" customWidth="true" hidden="false" outlineLevel="0" max="7" min="7" style="0" width="3"/>
  </cols>
  <sheetData>
    <row r="1" customFormat="false" ht="7.5" hidden="false" customHeight="true" outlineLevel="0" collapsed="false">
      <c r="A1" s="1"/>
      <c r="B1" s="1"/>
      <c r="C1" s="1"/>
      <c r="D1" s="1"/>
      <c r="E1" s="1"/>
      <c r="F1" s="1"/>
      <c r="G1" s="1"/>
    </row>
    <row r="2" customFormat="false" ht="30" hidden="false" customHeight="true" outlineLevel="0" collapsed="false">
      <c r="A2" s="1"/>
      <c r="B2" s="2" t="s">
        <v>51</v>
      </c>
      <c r="C2" s="1"/>
      <c r="D2" s="1"/>
      <c r="E2" s="1"/>
      <c r="F2" s="1"/>
      <c r="G2" s="1"/>
    </row>
    <row r="3" customFormat="false" ht="19.5" hidden="false" customHeight="true" outlineLevel="0" collapsed="false">
      <c r="A3" s="1"/>
      <c r="B3" s="3" t="s">
        <v>88</v>
      </c>
      <c r="C3" s="1"/>
      <c r="D3" s="1"/>
      <c r="E3" s="1"/>
      <c r="F3" s="1"/>
      <c r="G3" s="1"/>
    </row>
    <row r="4" customFormat="false" ht="7.5" hidden="false" customHeight="true" outlineLevel="0" collapsed="false">
      <c r="A4" s="1"/>
      <c r="B4" s="1"/>
      <c r="C4" s="1"/>
      <c r="D4" s="1"/>
      <c r="E4" s="1"/>
      <c r="F4" s="1"/>
      <c r="G4" s="1"/>
    </row>
    <row r="5" customFormat="false" ht="3" hidden="false" customHeight="true" outlineLevel="0" collapsed="false">
      <c r="A5" s="4"/>
      <c r="B5" s="4"/>
      <c r="C5" s="4"/>
      <c r="D5" s="4"/>
      <c r="E5" s="4"/>
      <c r="F5" s="4"/>
      <c r="G5" s="4"/>
    </row>
    <row r="7" customFormat="false" ht="19.5" hidden="false" customHeight="true" outlineLevel="0" collapsed="false">
      <c r="B7" s="25"/>
      <c r="C7" s="26" t="s">
        <v>89</v>
      </c>
      <c r="D7" s="26" t="s">
        <v>90</v>
      </c>
      <c r="E7" s="26" t="s">
        <v>91</v>
      </c>
      <c r="F7" s="26" t="s">
        <v>92</v>
      </c>
    </row>
    <row r="8" customFormat="false" ht="15" hidden="false" customHeight="false" outlineLevel="0" collapsed="false">
      <c r="B8" s="42" t="s">
        <v>93</v>
      </c>
      <c r="C8" s="43" t="s">
        <v>94</v>
      </c>
      <c r="D8" s="43" t="s">
        <v>95</v>
      </c>
      <c r="E8" s="43"/>
      <c r="F8" s="43"/>
    </row>
    <row r="9" customFormat="false" ht="15" hidden="false" customHeight="false" outlineLevel="0" collapsed="false">
      <c r="B9" s="42" t="s">
        <v>16</v>
      </c>
      <c r="C9" s="19" t="n">
        <v>20000</v>
      </c>
      <c r="D9" s="19" t="n">
        <v>60000</v>
      </c>
      <c r="E9" s="19"/>
      <c r="F9" s="19"/>
    </row>
    <row r="10" customFormat="false" ht="15" hidden="false" customHeight="false" outlineLevel="0" collapsed="false">
      <c r="B10" s="42" t="s">
        <v>18</v>
      </c>
      <c r="C10" s="22" t="n">
        <v>0.1</v>
      </c>
      <c r="D10" s="22" t="n">
        <v>0.1</v>
      </c>
      <c r="E10" s="22"/>
      <c r="F10" s="22"/>
    </row>
    <row r="11" customFormat="false" ht="19.5" hidden="false" customHeight="true" outlineLevel="0" collapsed="false">
      <c r="B11" s="5" t="s">
        <v>20</v>
      </c>
      <c r="C11" s="6"/>
      <c r="D11" s="6"/>
      <c r="E11" s="6"/>
      <c r="F11" s="6"/>
    </row>
    <row r="12" customFormat="false" ht="15" hidden="false" customHeight="false" outlineLevel="0" collapsed="false">
      <c r="B12" s="41" t="n">
        <v>1</v>
      </c>
      <c r="C12" s="19" t="n">
        <v>8000</v>
      </c>
      <c r="D12" s="19" t="n">
        <v>15000</v>
      </c>
      <c r="E12" s="19"/>
      <c r="F12" s="19"/>
    </row>
    <row r="13" customFormat="false" ht="15" hidden="false" customHeight="false" outlineLevel="0" collapsed="false">
      <c r="B13" s="41" t="n">
        <v>2</v>
      </c>
      <c r="C13" s="19" t="n">
        <v>8000</v>
      </c>
      <c r="D13" s="19" t="n">
        <v>20000</v>
      </c>
      <c r="E13" s="19"/>
      <c r="F13" s="19"/>
    </row>
    <row r="14" customFormat="false" ht="15" hidden="false" customHeight="false" outlineLevel="0" collapsed="false">
      <c r="B14" s="41" t="n">
        <v>3</v>
      </c>
      <c r="C14" s="19" t="n">
        <v>8000</v>
      </c>
      <c r="D14" s="19" t="n">
        <v>25000</v>
      </c>
      <c r="E14" s="19"/>
      <c r="F14" s="19"/>
    </row>
    <row r="15" customFormat="false" ht="15" hidden="false" customHeight="false" outlineLevel="0" collapsed="false">
      <c r="B15" s="41" t="n">
        <v>4</v>
      </c>
      <c r="C15" s="19"/>
      <c r="D15" s="19" t="n">
        <v>30000</v>
      </c>
      <c r="E15" s="19"/>
      <c r="F15" s="19"/>
    </row>
    <row r="16" customFormat="false" ht="15" hidden="false" customHeight="false" outlineLevel="0" collapsed="false">
      <c r="B16" s="41" t="n">
        <v>5</v>
      </c>
      <c r="C16" s="19"/>
      <c r="D16" s="19"/>
      <c r="E16" s="19"/>
      <c r="F16" s="19"/>
    </row>
    <row r="17" customFormat="false" ht="15" hidden="false" customHeight="false" outlineLevel="0" collapsed="false">
      <c r="B17" s="41" t="n">
        <v>6</v>
      </c>
      <c r="C17" s="19"/>
      <c r="D17" s="19"/>
      <c r="E17" s="19"/>
      <c r="F17" s="19"/>
    </row>
    <row r="18" customFormat="false" ht="15" hidden="false" customHeight="false" outlineLevel="0" collapsed="false">
      <c r="B18" s="41" t="n">
        <v>7</v>
      </c>
      <c r="C18" s="19"/>
      <c r="D18" s="19"/>
      <c r="E18" s="19"/>
      <c r="F18" s="19"/>
    </row>
    <row r="19" customFormat="false" ht="15" hidden="false" customHeight="false" outlineLevel="0" collapsed="false">
      <c r="B19" s="41" t="n">
        <v>8</v>
      </c>
      <c r="C19" s="19"/>
      <c r="D19" s="19"/>
      <c r="E19" s="19"/>
      <c r="F19" s="19"/>
    </row>
    <row r="20" customFormat="false" ht="15" hidden="false" customHeight="false" outlineLevel="0" collapsed="false">
      <c r="B20" s="41" t="n">
        <v>9</v>
      </c>
      <c r="C20" s="19"/>
      <c r="D20" s="19"/>
      <c r="E20" s="19"/>
      <c r="F20" s="19"/>
    </row>
    <row r="21" customFormat="false" ht="15" hidden="false" customHeight="false" outlineLevel="0" collapsed="false">
      <c r="B21" s="41" t="n">
        <v>10</v>
      </c>
      <c r="C21" s="19"/>
      <c r="D21" s="19"/>
      <c r="E21" s="19"/>
      <c r="F21" s="19"/>
    </row>
    <row r="22" customFormat="false" ht="15" hidden="false" customHeight="false" outlineLevel="0" collapsed="false">
      <c r="B22" s="41" t="n">
        <v>11</v>
      </c>
      <c r="C22" s="19"/>
      <c r="D22" s="19"/>
      <c r="E22" s="19"/>
      <c r="F22" s="19"/>
    </row>
    <row r="23" customFormat="false" ht="15" hidden="false" customHeight="false" outlineLevel="0" collapsed="false">
      <c r="B23" s="41" t="n">
        <v>12</v>
      </c>
      <c r="C23" s="19"/>
      <c r="D23" s="19"/>
      <c r="E23" s="19"/>
      <c r="F23" s="19"/>
    </row>
    <row r="24" customFormat="false" ht="15" hidden="false" customHeight="false" outlineLevel="0" collapsed="false">
      <c r="B24" s="41" t="n">
        <v>13</v>
      </c>
      <c r="C24" s="19"/>
      <c r="D24" s="19"/>
      <c r="E24" s="19"/>
      <c r="F24" s="19"/>
    </row>
    <row r="25" customFormat="false" ht="15" hidden="false" customHeight="false" outlineLevel="0" collapsed="false">
      <c r="B25" s="41" t="n">
        <v>14</v>
      </c>
      <c r="C25" s="19"/>
      <c r="D25" s="19"/>
      <c r="E25" s="19"/>
      <c r="F25" s="19"/>
    </row>
    <row r="26" customFormat="false" ht="15" hidden="false" customHeight="false" outlineLevel="0" collapsed="false">
      <c r="B26" s="41" t="n">
        <v>15</v>
      </c>
      <c r="C26" s="19"/>
      <c r="D26" s="19"/>
      <c r="E26" s="19"/>
      <c r="F26" s="19"/>
    </row>
    <row r="27" customFormat="false" ht="19.5" hidden="false" customHeight="true" outlineLevel="0" collapsed="false">
      <c r="B27" s="5" t="s">
        <v>96</v>
      </c>
      <c r="C27" s="6"/>
      <c r="D27" s="6"/>
      <c r="E27" s="6"/>
      <c r="F27" s="6"/>
    </row>
    <row r="28" customFormat="false" ht="15" hidden="false" customHeight="false" outlineLevel="0" collapsed="false">
      <c r="B28" s="42" t="s">
        <v>66</v>
      </c>
      <c r="C28" s="44" t="n">
        <f aca="false">IF(NOT(AND(COUNT(C12:C26)&gt;0,N(C9)&gt;0)),"—",IF(COUNT(C39:C53)=0,"Not recovered",SUM(C39:C53)))</f>
        <v>2.5</v>
      </c>
      <c r="D28" s="44" t="n">
        <f aca="false">IF(NOT(AND(COUNT(D12:D26)&gt;0,N(D9)&gt;0)),"—",IF(COUNT(D39:D53)=0,"Not recovered",SUM(D39:D53)))</f>
        <v>3</v>
      </c>
      <c r="E28" s="44" t="str">
        <f aca="false">IF(NOT(AND(COUNT(E12:E26)&gt;0,N(E9)&gt;0)),"—",IF(COUNT(E39:E53)=0,"Not recovered",SUM(E39:E53)))</f>
        <v>—</v>
      </c>
      <c r="F28" s="44" t="str">
        <f aca="false">IF(NOT(AND(COUNT(F12:F26)&gt;0,N(F9)&gt;0)),"—",IF(COUNT(F39:F53)=0,"Not recovered",SUM(F39:F53)))</f>
        <v>—</v>
      </c>
    </row>
    <row r="29" customFormat="false" ht="15" hidden="false" customHeight="false" outlineLevel="0" collapsed="false">
      <c r="B29" s="42" t="s">
        <v>34</v>
      </c>
      <c r="C29" s="45" t="str">
        <f aca="false">IF(NOT(AND(COUNT(C12:C26)&gt;0,N(C9)&gt;0)),"—",IF(NOT(N(C10)&gt;-1),"—",IF(COUNT(C57:C71)=0,"Not recovered",SUM(C57:C71))))</f>
        <v>Not recovered</v>
      </c>
      <c r="D29" s="45" t="n">
        <f aca="false">IF(NOT(AND(COUNT(D12:D26)&gt;0,N(D9)&gt;0)),"—",IF(NOT(N(D10)&gt;-1),"—",IF(COUNT(D57:D71)=0,"Not recovered",SUM(D57:D71))))</f>
        <v>3.53936666666667</v>
      </c>
      <c r="E29" s="45" t="str">
        <f aca="false">IF(NOT(AND(COUNT(E12:E26)&gt;0,N(E9)&gt;0)),"—",IF(NOT(N(E10)&gt;-1),"—",IF(COUNT(E57:E71)=0,"Not recovered",SUM(E57:E71))))</f>
        <v>—</v>
      </c>
      <c r="F29" s="45" t="str">
        <f aca="false">IF(NOT(AND(COUNT(F12:F26)&gt;0,N(F9)&gt;0)),"—",IF(NOT(N(F10)&gt;-1),"—",IF(COUNT(F57:F71)=0,"Not recovered",SUM(F57:F71))))</f>
        <v>—</v>
      </c>
    </row>
    <row r="30" customFormat="false" ht="15" hidden="false" customHeight="false" outlineLevel="0" collapsed="false">
      <c r="B30" s="42" t="s">
        <v>75</v>
      </c>
      <c r="C30" s="30" t="n">
        <f aca="false">IF(AND(COUNT(C12:C26)&gt;0,N(C9)&gt;0),SUM(C12:C26),"—")</f>
        <v>24000</v>
      </c>
      <c r="D30" s="30" t="n">
        <f aca="false">IF(AND(COUNT(D12:D26)&gt;0,N(D9)&gt;0),SUM(D12:D26),"—")</f>
        <v>90000</v>
      </c>
      <c r="E30" s="30" t="str">
        <f aca="false">IF(AND(COUNT(E12:E26)&gt;0,N(E9)&gt;0),SUM(E12:E26),"—")</f>
        <v>—</v>
      </c>
      <c r="F30" s="30" t="str">
        <f aca="false">IF(AND(COUNT(F12:F26)&gt;0,N(F9)&gt;0),SUM(F12:F26),"—")</f>
        <v>—</v>
      </c>
    </row>
    <row r="31" customFormat="false" ht="15" hidden="false" customHeight="false" outlineLevel="0" collapsed="false">
      <c r="B31" s="42" t="s">
        <v>97</v>
      </c>
      <c r="C31" s="46" t="n">
        <f aca="false">IF(AND(COUNT(C12:C26)&gt;0,N(C9)&gt;0),C30/C9,"—")</f>
        <v>1.2</v>
      </c>
      <c r="D31" s="46" t="n">
        <f aca="false">IF(AND(COUNT(D12:D26)&gt;0,N(D9)&gt;0),D30/D9,"—")</f>
        <v>1.5</v>
      </c>
      <c r="E31" s="46" t="str">
        <f aca="false">IF(AND(COUNT(E12:E26)&gt;0,N(E9)&gt;0),E30/E9,"—")</f>
        <v>—</v>
      </c>
      <c r="F31" s="46" t="str">
        <f aca="false">IF(AND(COUNT(F12:F26)&gt;0,N(F9)&gt;0),F30/F9,"—")</f>
        <v>—</v>
      </c>
    </row>
    <row r="32" customFormat="false" ht="15" hidden="false" customHeight="false" outlineLevel="0" collapsed="false">
      <c r="B32" s="42" t="s">
        <v>98</v>
      </c>
      <c r="C32" s="47" t="n">
        <f aca="false">IF(ISNUMBER(C28),RANK(C28,$C$28:$F$28,1),"—")</f>
        <v>1</v>
      </c>
      <c r="D32" s="47" t="n">
        <f aca="false">IF(ISNUMBER(D28),RANK(D28,$C$28:$F$28,1),"—")</f>
        <v>2</v>
      </c>
      <c r="E32" s="47" t="str">
        <f aca="false">IF(ISNUMBER(E28),RANK(E28,$C$28:$F$28,1),"—")</f>
        <v>—</v>
      </c>
      <c r="F32" s="47" t="str">
        <f aca="false">IF(ISNUMBER(F28),RANK(F28,$C$28:$F$28,1),"—")</f>
        <v>—</v>
      </c>
    </row>
    <row r="34" customFormat="false" ht="30" hidden="false" customHeight="true" outlineLevel="0" collapsed="false">
      <c r="B34" s="20" t="s">
        <v>99</v>
      </c>
      <c r="C34" s="20"/>
      <c r="D34" s="20"/>
      <c r="E34" s="20"/>
      <c r="F34" s="20"/>
    </row>
    <row r="35" customFormat="false" ht="15" hidden="false" customHeight="false" outlineLevel="0" collapsed="false">
      <c r="B35" s="20"/>
      <c r="C35" s="20"/>
      <c r="D35" s="20"/>
      <c r="E35" s="20"/>
      <c r="F35" s="20"/>
    </row>
    <row r="37" customFormat="false" ht="19.5" hidden="false" customHeight="true" outlineLevel="0" collapsed="false">
      <c r="B37" s="5" t="s">
        <v>100</v>
      </c>
      <c r="C37" s="6"/>
      <c r="D37" s="6"/>
      <c r="E37" s="6"/>
      <c r="F37" s="6"/>
    </row>
    <row r="38" customFormat="false" ht="15" hidden="false" customHeight="false" outlineLevel="0" collapsed="false">
      <c r="B38" s="48" t="s">
        <v>68</v>
      </c>
      <c r="C38" s="48" t="str">
        <f aca="false">IF(ISBLANK(C8),"Project 1",C8)</f>
        <v>Machine</v>
      </c>
      <c r="D38" s="48" t="str">
        <f aca="false">IF(ISBLANK(D8),"Project 2",D8)</f>
        <v>Expansion</v>
      </c>
      <c r="E38" s="48" t="str">
        <f aca="false">IF(ISBLANK(E8),"Project 3",E8)</f>
        <v>Project 3</v>
      </c>
      <c r="F38" s="48" t="str">
        <f aca="false">IF(ISBLANK(F8),"Project 4",F8)</f>
        <v>Project 4</v>
      </c>
    </row>
    <row r="39" customFormat="false" ht="15" hidden="false" customHeight="false" outlineLevel="0" collapsed="false">
      <c r="B39" s="49" t="n">
        <v>1</v>
      </c>
      <c r="C39" s="50" t="str">
        <f aca="false">IF(AND(AND(COUNT(C12:C26)&gt;0,N(C9)&gt;0),N(C12)&gt;0,0+N(C12)&gt;=N(C$9),TRUE()),0+(N(C$9)-0)/C12,"")</f>
        <v/>
      </c>
      <c r="D39" s="50" t="str">
        <f aca="false">IF(AND(AND(COUNT(D12:D26)&gt;0,N(D9)&gt;0),N(D12)&gt;0,0+N(D12)&gt;=N(D$9),TRUE()),0+(N(D$9)-0)/D12,"")</f>
        <v/>
      </c>
      <c r="E39" s="50" t="str">
        <f aca="false">IF(AND(AND(COUNT(E12:E26)&gt;0,N(E9)&gt;0),N(E12)&gt;0,0+N(E12)&gt;=N(E$9),TRUE()),0+(N(E$9)-0)/E12,"")</f>
        <v/>
      </c>
      <c r="F39" s="50" t="str">
        <f aca="false">IF(AND(AND(COUNT(F12:F26)&gt;0,N(F9)&gt;0),N(F12)&gt;0,0+N(F12)&gt;=N(F$9),TRUE()),0+(N(F$9)-0)/F12,"")</f>
        <v/>
      </c>
    </row>
    <row r="40" customFormat="false" ht="15" hidden="false" customHeight="false" outlineLevel="0" collapsed="false">
      <c r="B40" s="49" t="n">
        <v>2</v>
      </c>
      <c r="C40" s="50" t="str">
        <f aca="false">IF(AND(AND(COUNT(C12:C26)&gt;0,N(C9)&gt;0),N(C13)&gt;0,SUM(C$12:C12)+N(C13)&gt;=N(C$9),COUNT(C$39:C39)=0),1+(N(C$9)-SUM(C$12:C12))/C13,"")</f>
        <v/>
      </c>
      <c r="D40" s="50" t="str">
        <f aca="false">IF(AND(AND(COUNT(D12:D26)&gt;0,N(D9)&gt;0),N(D13)&gt;0,SUM(D$12:D12)+N(D13)&gt;=N(D$9),COUNT(D$39:D39)=0),1+(N(D$9)-SUM(D$12:D12))/D13,"")</f>
        <v/>
      </c>
      <c r="E40" s="50" t="str">
        <f aca="false">IF(AND(AND(COUNT(E12:E26)&gt;0,N(E9)&gt;0),N(E13)&gt;0,SUM(E$12:E12)+N(E13)&gt;=N(E$9),COUNT(E$39:E39)=0),1+(N(E$9)-SUM(E$12:E12))/E13,"")</f>
        <v/>
      </c>
      <c r="F40" s="50" t="str">
        <f aca="false">IF(AND(AND(COUNT(F12:F26)&gt;0,N(F9)&gt;0),N(F13)&gt;0,SUM(F$12:F12)+N(F13)&gt;=N(F$9),COUNT(F$39:F39)=0),1+(N(F$9)-SUM(F$12:F12))/F13,"")</f>
        <v/>
      </c>
    </row>
    <row r="41" customFormat="false" ht="15" hidden="false" customHeight="false" outlineLevel="0" collapsed="false">
      <c r="B41" s="49" t="n">
        <v>3</v>
      </c>
      <c r="C41" s="50" t="n">
        <f aca="false">IF(AND(AND(COUNT(C12:C26)&gt;0,N(C9)&gt;0),N(C14)&gt;0,SUM(C$12:C13)+N(C14)&gt;=N(C$9),COUNT(C$39:C40)=0),2+(N(C$9)-SUM(C$12:C13))/C14,"")</f>
        <v>2.5</v>
      </c>
      <c r="D41" s="50" t="n">
        <f aca="false">IF(AND(AND(COUNT(D12:D26)&gt;0,N(D9)&gt;0),N(D14)&gt;0,SUM(D$12:D13)+N(D14)&gt;=N(D$9),COUNT(D$39:D40)=0),2+(N(D$9)-SUM(D$12:D13))/D14,"")</f>
        <v>3</v>
      </c>
      <c r="E41" s="50" t="str">
        <f aca="false">IF(AND(AND(COUNT(E12:E26)&gt;0,N(E9)&gt;0),N(E14)&gt;0,SUM(E$12:E13)+N(E14)&gt;=N(E$9),COUNT(E$39:E40)=0),2+(N(E$9)-SUM(E$12:E13))/E14,"")</f>
        <v/>
      </c>
      <c r="F41" s="50" t="str">
        <f aca="false">IF(AND(AND(COUNT(F12:F26)&gt;0,N(F9)&gt;0),N(F14)&gt;0,SUM(F$12:F13)+N(F14)&gt;=N(F$9),COUNT(F$39:F40)=0),2+(N(F$9)-SUM(F$12:F13))/F14,"")</f>
        <v/>
      </c>
    </row>
    <row r="42" customFormat="false" ht="15" hidden="false" customHeight="false" outlineLevel="0" collapsed="false">
      <c r="B42" s="49" t="n">
        <v>4</v>
      </c>
      <c r="C42" s="50" t="str">
        <f aca="false">IF(AND(AND(COUNT(C12:C26)&gt;0,N(C9)&gt;0),N(C15)&gt;0,SUM(C$12:C14)+N(C15)&gt;=N(C$9),COUNT(C$39:C41)=0),3+(N(C$9)-SUM(C$12:C14))/C15,"")</f>
        <v/>
      </c>
      <c r="D42" s="50" t="str">
        <f aca="false">IF(AND(AND(COUNT(D12:D26)&gt;0,N(D9)&gt;0),N(D15)&gt;0,SUM(D$12:D14)+N(D15)&gt;=N(D$9),COUNT(D$39:D41)=0),3+(N(D$9)-SUM(D$12:D14))/D15,"")</f>
        <v/>
      </c>
      <c r="E42" s="50" t="str">
        <f aca="false">IF(AND(AND(COUNT(E12:E26)&gt;0,N(E9)&gt;0),N(E15)&gt;0,SUM(E$12:E14)+N(E15)&gt;=N(E$9),COUNT(E$39:E41)=0),3+(N(E$9)-SUM(E$12:E14))/E15,"")</f>
        <v/>
      </c>
      <c r="F42" s="50" t="str">
        <f aca="false">IF(AND(AND(COUNT(F12:F26)&gt;0,N(F9)&gt;0),N(F15)&gt;0,SUM(F$12:F14)+N(F15)&gt;=N(F$9),COUNT(F$39:F41)=0),3+(N(F$9)-SUM(F$12:F14))/F15,"")</f>
        <v/>
      </c>
    </row>
    <row r="43" customFormat="false" ht="15" hidden="false" customHeight="false" outlineLevel="0" collapsed="false">
      <c r="B43" s="49" t="n">
        <v>5</v>
      </c>
      <c r="C43" s="50" t="str">
        <f aca="false">IF(AND(AND(COUNT(C12:C26)&gt;0,N(C9)&gt;0),N(C16)&gt;0,SUM(C$12:C15)+N(C16)&gt;=N(C$9),COUNT(C$39:C42)=0),4+(N(C$9)-SUM(C$12:C15))/C16,"")</f>
        <v/>
      </c>
      <c r="D43" s="50" t="str">
        <f aca="false">IF(AND(AND(COUNT(D12:D26)&gt;0,N(D9)&gt;0),N(D16)&gt;0,SUM(D$12:D15)+N(D16)&gt;=N(D$9),COUNT(D$39:D42)=0),4+(N(D$9)-SUM(D$12:D15))/D16,"")</f>
        <v/>
      </c>
      <c r="E43" s="50" t="str">
        <f aca="false">IF(AND(AND(COUNT(E12:E26)&gt;0,N(E9)&gt;0),N(E16)&gt;0,SUM(E$12:E15)+N(E16)&gt;=N(E$9),COUNT(E$39:E42)=0),4+(N(E$9)-SUM(E$12:E15))/E16,"")</f>
        <v/>
      </c>
      <c r="F43" s="50" t="str">
        <f aca="false">IF(AND(AND(COUNT(F12:F26)&gt;0,N(F9)&gt;0),N(F16)&gt;0,SUM(F$12:F15)+N(F16)&gt;=N(F$9),COUNT(F$39:F42)=0),4+(N(F$9)-SUM(F$12:F15))/F16,"")</f>
        <v/>
      </c>
    </row>
    <row r="44" customFormat="false" ht="15" hidden="false" customHeight="false" outlineLevel="0" collapsed="false">
      <c r="B44" s="49" t="n">
        <v>6</v>
      </c>
      <c r="C44" s="50" t="str">
        <f aca="false">IF(AND(AND(COUNT(C12:C26)&gt;0,N(C9)&gt;0),N(C17)&gt;0,SUM(C$12:C16)+N(C17)&gt;=N(C$9),COUNT(C$39:C43)=0),5+(N(C$9)-SUM(C$12:C16))/C17,"")</f>
        <v/>
      </c>
      <c r="D44" s="50" t="str">
        <f aca="false">IF(AND(AND(COUNT(D12:D26)&gt;0,N(D9)&gt;0),N(D17)&gt;0,SUM(D$12:D16)+N(D17)&gt;=N(D$9),COUNT(D$39:D43)=0),5+(N(D$9)-SUM(D$12:D16))/D17,"")</f>
        <v/>
      </c>
      <c r="E44" s="50" t="str">
        <f aca="false">IF(AND(AND(COUNT(E12:E26)&gt;0,N(E9)&gt;0),N(E17)&gt;0,SUM(E$12:E16)+N(E17)&gt;=N(E$9),COUNT(E$39:E43)=0),5+(N(E$9)-SUM(E$12:E16))/E17,"")</f>
        <v/>
      </c>
      <c r="F44" s="50" t="str">
        <f aca="false">IF(AND(AND(COUNT(F12:F26)&gt;0,N(F9)&gt;0),N(F17)&gt;0,SUM(F$12:F16)+N(F17)&gt;=N(F$9),COUNT(F$39:F43)=0),5+(N(F$9)-SUM(F$12:F16))/F17,"")</f>
        <v/>
      </c>
    </row>
    <row r="45" customFormat="false" ht="15" hidden="false" customHeight="false" outlineLevel="0" collapsed="false">
      <c r="B45" s="49" t="n">
        <v>7</v>
      </c>
      <c r="C45" s="50" t="str">
        <f aca="false">IF(AND(AND(COUNT(C12:C26)&gt;0,N(C9)&gt;0),N(C18)&gt;0,SUM(C$12:C17)+N(C18)&gt;=N(C$9),COUNT(C$39:C44)=0),6+(N(C$9)-SUM(C$12:C17))/C18,"")</f>
        <v/>
      </c>
      <c r="D45" s="50" t="str">
        <f aca="false">IF(AND(AND(COUNT(D12:D26)&gt;0,N(D9)&gt;0),N(D18)&gt;0,SUM(D$12:D17)+N(D18)&gt;=N(D$9),COUNT(D$39:D44)=0),6+(N(D$9)-SUM(D$12:D17))/D18,"")</f>
        <v/>
      </c>
      <c r="E45" s="50" t="str">
        <f aca="false">IF(AND(AND(COUNT(E12:E26)&gt;0,N(E9)&gt;0),N(E18)&gt;0,SUM(E$12:E17)+N(E18)&gt;=N(E$9),COUNT(E$39:E44)=0),6+(N(E$9)-SUM(E$12:E17))/E18,"")</f>
        <v/>
      </c>
      <c r="F45" s="50" t="str">
        <f aca="false">IF(AND(AND(COUNT(F12:F26)&gt;0,N(F9)&gt;0),N(F18)&gt;0,SUM(F$12:F17)+N(F18)&gt;=N(F$9),COUNT(F$39:F44)=0),6+(N(F$9)-SUM(F$12:F17))/F18,"")</f>
        <v/>
      </c>
    </row>
    <row r="46" customFormat="false" ht="15" hidden="false" customHeight="false" outlineLevel="0" collapsed="false">
      <c r="B46" s="49" t="n">
        <v>8</v>
      </c>
      <c r="C46" s="50" t="str">
        <f aca="false">IF(AND(AND(COUNT(C12:C26)&gt;0,N(C9)&gt;0),N(C19)&gt;0,SUM(C$12:C18)+N(C19)&gt;=N(C$9),COUNT(C$39:C45)=0),7+(N(C$9)-SUM(C$12:C18))/C19,"")</f>
        <v/>
      </c>
      <c r="D46" s="50" t="str">
        <f aca="false">IF(AND(AND(COUNT(D12:D26)&gt;0,N(D9)&gt;0),N(D19)&gt;0,SUM(D$12:D18)+N(D19)&gt;=N(D$9),COUNT(D$39:D45)=0),7+(N(D$9)-SUM(D$12:D18))/D19,"")</f>
        <v/>
      </c>
      <c r="E46" s="50" t="str">
        <f aca="false">IF(AND(AND(COUNT(E12:E26)&gt;0,N(E9)&gt;0),N(E19)&gt;0,SUM(E$12:E18)+N(E19)&gt;=N(E$9),COUNT(E$39:E45)=0),7+(N(E$9)-SUM(E$12:E18))/E19,"")</f>
        <v/>
      </c>
      <c r="F46" s="50" t="str">
        <f aca="false">IF(AND(AND(COUNT(F12:F26)&gt;0,N(F9)&gt;0),N(F19)&gt;0,SUM(F$12:F18)+N(F19)&gt;=N(F$9),COUNT(F$39:F45)=0),7+(N(F$9)-SUM(F$12:F18))/F19,"")</f>
        <v/>
      </c>
    </row>
    <row r="47" customFormat="false" ht="15" hidden="false" customHeight="false" outlineLevel="0" collapsed="false">
      <c r="B47" s="49" t="n">
        <v>9</v>
      </c>
      <c r="C47" s="50" t="str">
        <f aca="false">IF(AND(AND(COUNT(C12:C26)&gt;0,N(C9)&gt;0),N(C20)&gt;0,SUM(C$12:C19)+N(C20)&gt;=N(C$9),COUNT(C$39:C46)=0),8+(N(C$9)-SUM(C$12:C19))/C20,"")</f>
        <v/>
      </c>
      <c r="D47" s="50" t="str">
        <f aca="false">IF(AND(AND(COUNT(D12:D26)&gt;0,N(D9)&gt;0),N(D20)&gt;0,SUM(D$12:D19)+N(D20)&gt;=N(D$9),COUNT(D$39:D46)=0),8+(N(D$9)-SUM(D$12:D19))/D20,"")</f>
        <v/>
      </c>
      <c r="E47" s="50" t="str">
        <f aca="false">IF(AND(AND(COUNT(E12:E26)&gt;0,N(E9)&gt;0),N(E20)&gt;0,SUM(E$12:E19)+N(E20)&gt;=N(E$9),COUNT(E$39:E46)=0),8+(N(E$9)-SUM(E$12:E19))/E20,"")</f>
        <v/>
      </c>
      <c r="F47" s="50" t="str">
        <f aca="false">IF(AND(AND(COUNT(F12:F26)&gt;0,N(F9)&gt;0),N(F20)&gt;0,SUM(F$12:F19)+N(F20)&gt;=N(F$9),COUNT(F$39:F46)=0),8+(N(F$9)-SUM(F$12:F19))/F20,"")</f>
        <v/>
      </c>
    </row>
    <row r="48" customFormat="false" ht="15" hidden="false" customHeight="false" outlineLevel="0" collapsed="false">
      <c r="B48" s="49" t="n">
        <v>10</v>
      </c>
      <c r="C48" s="50" t="str">
        <f aca="false">IF(AND(AND(COUNT(C12:C26)&gt;0,N(C9)&gt;0),N(C21)&gt;0,SUM(C$12:C20)+N(C21)&gt;=N(C$9),COUNT(C$39:C47)=0),9+(N(C$9)-SUM(C$12:C20))/C21,"")</f>
        <v/>
      </c>
      <c r="D48" s="50" t="str">
        <f aca="false">IF(AND(AND(COUNT(D12:D26)&gt;0,N(D9)&gt;0),N(D21)&gt;0,SUM(D$12:D20)+N(D21)&gt;=N(D$9),COUNT(D$39:D47)=0),9+(N(D$9)-SUM(D$12:D20))/D21,"")</f>
        <v/>
      </c>
      <c r="E48" s="50" t="str">
        <f aca="false">IF(AND(AND(COUNT(E12:E26)&gt;0,N(E9)&gt;0),N(E21)&gt;0,SUM(E$12:E20)+N(E21)&gt;=N(E$9),COUNT(E$39:E47)=0),9+(N(E$9)-SUM(E$12:E20))/E21,"")</f>
        <v/>
      </c>
      <c r="F48" s="50" t="str">
        <f aca="false">IF(AND(AND(COUNT(F12:F26)&gt;0,N(F9)&gt;0),N(F21)&gt;0,SUM(F$12:F20)+N(F21)&gt;=N(F$9),COUNT(F$39:F47)=0),9+(N(F$9)-SUM(F$12:F20))/F21,"")</f>
        <v/>
      </c>
    </row>
    <row r="49" customFormat="false" ht="15" hidden="false" customHeight="false" outlineLevel="0" collapsed="false">
      <c r="B49" s="49" t="n">
        <v>11</v>
      </c>
      <c r="C49" s="50" t="str">
        <f aca="false">IF(AND(AND(COUNT(C12:C26)&gt;0,N(C9)&gt;0),N(C22)&gt;0,SUM(C$12:C21)+N(C22)&gt;=N(C$9),COUNT(C$39:C48)=0),10+(N(C$9)-SUM(C$12:C21))/C22,"")</f>
        <v/>
      </c>
      <c r="D49" s="50" t="str">
        <f aca="false">IF(AND(AND(COUNT(D12:D26)&gt;0,N(D9)&gt;0),N(D22)&gt;0,SUM(D$12:D21)+N(D22)&gt;=N(D$9),COUNT(D$39:D48)=0),10+(N(D$9)-SUM(D$12:D21))/D22,"")</f>
        <v/>
      </c>
      <c r="E49" s="50" t="str">
        <f aca="false">IF(AND(AND(COUNT(E12:E26)&gt;0,N(E9)&gt;0),N(E22)&gt;0,SUM(E$12:E21)+N(E22)&gt;=N(E$9),COUNT(E$39:E48)=0),10+(N(E$9)-SUM(E$12:E21))/E22,"")</f>
        <v/>
      </c>
      <c r="F49" s="50" t="str">
        <f aca="false">IF(AND(AND(COUNT(F12:F26)&gt;0,N(F9)&gt;0),N(F22)&gt;0,SUM(F$12:F21)+N(F22)&gt;=N(F$9),COUNT(F$39:F48)=0),10+(N(F$9)-SUM(F$12:F21))/F22,"")</f>
        <v/>
      </c>
    </row>
    <row r="50" customFormat="false" ht="15" hidden="false" customHeight="false" outlineLevel="0" collapsed="false">
      <c r="B50" s="49" t="n">
        <v>12</v>
      </c>
      <c r="C50" s="50" t="str">
        <f aca="false">IF(AND(AND(COUNT(C12:C26)&gt;0,N(C9)&gt;0),N(C23)&gt;0,SUM(C$12:C22)+N(C23)&gt;=N(C$9),COUNT(C$39:C49)=0),11+(N(C$9)-SUM(C$12:C22))/C23,"")</f>
        <v/>
      </c>
      <c r="D50" s="50" t="str">
        <f aca="false">IF(AND(AND(COUNT(D12:D26)&gt;0,N(D9)&gt;0),N(D23)&gt;0,SUM(D$12:D22)+N(D23)&gt;=N(D$9),COUNT(D$39:D49)=0),11+(N(D$9)-SUM(D$12:D22))/D23,"")</f>
        <v/>
      </c>
      <c r="E50" s="50" t="str">
        <f aca="false">IF(AND(AND(COUNT(E12:E26)&gt;0,N(E9)&gt;0),N(E23)&gt;0,SUM(E$12:E22)+N(E23)&gt;=N(E$9),COUNT(E$39:E49)=0),11+(N(E$9)-SUM(E$12:E22))/E23,"")</f>
        <v/>
      </c>
      <c r="F50" s="50" t="str">
        <f aca="false">IF(AND(AND(COUNT(F12:F26)&gt;0,N(F9)&gt;0),N(F23)&gt;0,SUM(F$12:F22)+N(F23)&gt;=N(F$9),COUNT(F$39:F49)=0),11+(N(F$9)-SUM(F$12:F22))/F23,"")</f>
        <v/>
      </c>
    </row>
    <row r="51" customFormat="false" ht="15" hidden="false" customHeight="false" outlineLevel="0" collapsed="false">
      <c r="B51" s="49" t="n">
        <v>13</v>
      </c>
      <c r="C51" s="50" t="str">
        <f aca="false">IF(AND(AND(COUNT(C12:C26)&gt;0,N(C9)&gt;0),N(C24)&gt;0,SUM(C$12:C23)+N(C24)&gt;=N(C$9),COUNT(C$39:C50)=0),12+(N(C$9)-SUM(C$12:C23))/C24,"")</f>
        <v/>
      </c>
      <c r="D51" s="50" t="str">
        <f aca="false">IF(AND(AND(COUNT(D12:D26)&gt;0,N(D9)&gt;0),N(D24)&gt;0,SUM(D$12:D23)+N(D24)&gt;=N(D$9),COUNT(D$39:D50)=0),12+(N(D$9)-SUM(D$12:D23))/D24,"")</f>
        <v/>
      </c>
      <c r="E51" s="50" t="str">
        <f aca="false">IF(AND(AND(COUNT(E12:E26)&gt;0,N(E9)&gt;0),N(E24)&gt;0,SUM(E$12:E23)+N(E24)&gt;=N(E$9),COUNT(E$39:E50)=0),12+(N(E$9)-SUM(E$12:E23))/E24,"")</f>
        <v/>
      </c>
      <c r="F51" s="50" t="str">
        <f aca="false">IF(AND(AND(COUNT(F12:F26)&gt;0,N(F9)&gt;0),N(F24)&gt;0,SUM(F$12:F23)+N(F24)&gt;=N(F$9),COUNT(F$39:F50)=0),12+(N(F$9)-SUM(F$12:F23))/F24,"")</f>
        <v/>
      </c>
    </row>
    <row r="52" customFormat="false" ht="15" hidden="false" customHeight="false" outlineLevel="0" collapsed="false">
      <c r="B52" s="49" t="n">
        <v>14</v>
      </c>
      <c r="C52" s="50" t="str">
        <f aca="false">IF(AND(AND(COUNT(C12:C26)&gt;0,N(C9)&gt;0),N(C25)&gt;0,SUM(C$12:C24)+N(C25)&gt;=N(C$9),COUNT(C$39:C51)=0),13+(N(C$9)-SUM(C$12:C24))/C25,"")</f>
        <v/>
      </c>
      <c r="D52" s="50" t="str">
        <f aca="false">IF(AND(AND(COUNT(D12:D26)&gt;0,N(D9)&gt;0),N(D25)&gt;0,SUM(D$12:D24)+N(D25)&gt;=N(D$9),COUNT(D$39:D51)=0),13+(N(D$9)-SUM(D$12:D24))/D25,"")</f>
        <v/>
      </c>
      <c r="E52" s="50" t="str">
        <f aca="false">IF(AND(AND(COUNT(E12:E26)&gt;0,N(E9)&gt;0),N(E25)&gt;0,SUM(E$12:E24)+N(E25)&gt;=N(E$9),COUNT(E$39:E51)=0),13+(N(E$9)-SUM(E$12:E24))/E25,"")</f>
        <v/>
      </c>
      <c r="F52" s="50" t="str">
        <f aca="false">IF(AND(AND(COUNT(F12:F26)&gt;0,N(F9)&gt;0),N(F25)&gt;0,SUM(F$12:F24)+N(F25)&gt;=N(F$9),COUNT(F$39:F51)=0),13+(N(F$9)-SUM(F$12:F24))/F25,"")</f>
        <v/>
      </c>
    </row>
    <row r="53" customFormat="false" ht="15" hidden="false" customHeight="false" outlineLevel="0" collapsed="false">
      <c r="B53" s="49" t="n">
        <v>15</v>
      </c>
      <c r="C53" s="50" t="str">
        <f aca="false">IF(AND(AND(COUNT(C12:C26)&gt;0,N(C9)&gt;0),N(C26)&gt;0,SUM(C$12:C25)+N(C26)&gt;=N(C$9),COUNT(C$39:C52)=0),14+(N(C$9)-SUM(C$12:C25))/C26,"")</f>
        <v/>
      </c>
      <c r="D53" s="50" t="str">
        <f aca="false">IF(AND(AND(COUNT(D12:D26)&gt;0,N(D9)&gt;0),N(D26)&gt;0,SUM(D$12:D25)+N(D26)&gt;=N(D$9),COUNT(D$39:D52)=0),14+(N(D$9)-SUM(D$12:D25))/D26,"")</f>
        <v/>
      </c>
      <c r="E53" s="50" t="str">
        <f aca="false">IF(AND(AND(COUNT(E12:E26)&gt;0,N(E9)&gt;0),N(E26)&gt;0,SUM(E$12:E25)+N(E26)&gt;=N(E$9),COUNT(E$39:E52)=0),14+(N(E$9)-SUM(E$12:E25))/E26,"")</f>
        <v/>
      </c>
      <c r="F53" s="50" t="str">
        <f aca="false">IF(AND(AND(COUNT(F12:F26)&gt;0,N(F9)&gt;0),N(F26)&gt;0,SUM(F$12:F25)+N(F26)&gt;=N(F$9),COUNT(F$39:F52)=0),14+(N(F$9)-SUM(F$12:F25))/F26,"")</f>
        <v/>
      </c>
    </row>
    <row r="56" customFormat="false" ht="25.5" hidden="false" customHeight="true" outlineLevel="0" collapsed="false">
      <c r="B56" s="48" t="s">
        <v>68</v>
      </c>
      <c r="C56" s="26" t="str">
        <f aca="false">IF(ISBLANK(C8),"Project 1",C8)&amp;" (discounted)"</f>
        <v>Machine (discounted)</v>
      </c>
      <c r="D56" s="26" t="str">
        <f aca="false">IF(ISBLANK(D8),"Project 2",D8)&amp;" (discounted)"</f>
        <v>Expansion (discounted)</v>
      </c>
      <c r="E56" s="26" t="str">
        <f aca="false">IF(ISBLANK(E8),"Project 3",E8)&amp;" (discounted)"</f>
        <v>Project 3 (discounted)</v>
      </c>
      <c r="F56" s="26" t="str">
        <f aca="false">IF(ISBLANK(F8),"Project 4",F8)&amp;" (discounted)"</f>
        <v>Project 4 (discounted)</v>
      </c>
    </row>
    <row r="57" customFormat="false" ht="15" hidden="false" customHeight="false" outlineLevel="0" collapsed="false">
      <c r="B57" s="49" t="n">
        <v>1</v>
      </c>
      <c r="C57" s="50" t="str">
        <f aca="false">IF(AND(AND(COUNT(C12:C26)&gt;0,N(C9)&gt;0),N(C10)&gt;-1,N(C12)/(1+N(C$10))^1&gt;0,0+N(C12)/(1+N(C$10))^1&gt;=N(C$9),TRUE()),0+(N(C$9)-0)/(N(C12)/(1+N(C$10))^1),"")</f>
        <v/>
      </c>
      <c r="D57" s="50" t="str">
        <f aca="false">IF(AND(AND(COUNT(D12:D26)&gt;0,N(D9)&gt;0),N(D10)&gt;-1,N(D12)/(1+N(D$10))^1&gt;0,0+N(D12)/(1+N(D$10))^1&gt;=N(D$9),TRUE()),0+(N(D$9)-0)/(N(D12)/(1+N(D$10))^1),"")</f>
        <v/>
      </c>
      <c r="E57" s="50" t="str">
        <f aca="false">IF(AND(AND(COUNT(E12:E26)&gt;0,N(E9)&gt;0),N(E10)&gt;-1,N(E12)/(1+N(E$10))^1&gt;0,0+N(E12)/(1+N(E$10))^1&gt;=N(E$9),TRUE()),0+(N(E$9)-0)/(N(E12)/(1+N(E$10))^1),"")</f>
        <v/>
      </c>
      <c r="F57" s="50" t="str">
        <f aca="false">IF(AND(AND(COUNT(F12:F26)&gt;0,N(F9)&gt;0),N(F10)&gt;-1,N(F12)/(1+N(F$10))^1&gt;0,0+N(F12)/(1+N(F$10))^1&gt;=N(F$9),TRUE()),0+(N(F$9)-0)/(N(F12)/(1+N(F$10))^1),"")</f>
        <v/>
      </c>
    </row>
    <row r="58" customFormat="false" ht="15" hidden="false" customHeight="false" outlineLevel="0" collapsed="false">
      <c r="B58" s="49" t="n">
        <v>2</v>
      </c>
      <c r="C58" s="50" t="str">
        <f aca="false">IF(AND(AND(COUNT(C12:C26)&gt;0,N(C9)&gt;0),N(C10)&gt;-1,N(C13)/(1+N(C$10))^2&gt;0,(N(C12)/(1+N(C$10))^1)+N(C13)/(1+N(C$10))^2&gt;=N(C$9),COUNT(C$57:C57)=0),1+(N(C$9)-(N(C12)/(1+N(C$10))^1))/(N(C13)/(1+N(C$10))^2),"")</f>
        <v/>
      </c>
      <c r="D58" s="50" t="str">
        <f aca="false">IF(AND(AND(COUNT(D12:D26)&gt;0,N(D9)&gt;0),N(D10)&gt;-1,N(D13)/(1+N(D$10))^2&gt;0,(N(D12)/(1+N(D$10))^1)+N(D13)/(1+N(D$10))^2&gt;=N(D$9),COUNT(D$57:D57)=0),1+(N(D$9)-(N(D12)/(1+N(D$10))^1))/(N(D13)/(1+N(D$10))^2),"")</f>
        <v/>
      </c>
      <c r="E58" s="50" t="str">
        <f aca="false">IF(AND(AND(COUNT(E12:E26)&gt;0,N(E9)&gt;0),N(E10)&gt;-1,N(E13)/(1+N(E$10))^2&gt;0,(N(E12)/(1+N(E$10))^1)+N(E13)/(1+N(E$10))^2&gt;=N(E$9),COUNT(E$57:E57)=0),1+(N(E$9)-(N(E12)/(1+N(E$10))^1))/(N(E13)/(1+N(E$10))^2),"")</f>
        <v/>
      </c>
      <c r="F58" s="50" t="str">
        <f aca="false">IF(AND(AND(COUNT(F12:F26)&gt;0,N(F9)&gt;0),N(F10)&gt;-1,N(F13)/(1+N(F$10))^2&gt;0,(N(F12)/(1+N(F$10))^1)+N(F13)/(1+N(F$10))^2&gt;=N(F$9),COUNT(F$57:F57)=0),1+(N(F$9)-(N(F12)/(1+N(F$10))^1))/(N(F13)/(1+N(F$10))^2),"")</f>
        <v/>
      </c>
    </row>
    <row r="59" customFormat="false" ht="15" hidden="false" customHeight="false" outlineLevel="0" collapsed="false">
      <c r="B59" s="49" t="n">
        <v>3</v>
      </c>
      <c r="C59" s="50" t="str">
        <f aca="false">IF(AND(AND(COUNT(C12:C26)&gt;0,N(C9)&gt;0),N(C10)&gt;-1,N(C14)/(1+N(C$10))^3&gt;0,(N(C12)/(1+N(C$10))^1+N(C13)/(1+N(C$10))^2)+N(C14)/(1+N(C$10))^3&gt;=N(C$9),COUNT(C$57:C58)=0),2+(N(C$9)-(N(C12)/(1+N(C$10))^1+N(C13)/(1+N(C$10))^2))/(N(C14)/(1+N(C$10))^3),"")</f>
        <v/>
      </c>
      <c r="D59" s="50" t="str">
        <f aca="false">IF(AND(AND(COUNT(D12:D26)&gt;0,N(D9)&gt;0),N(D10)&gt;-1,N(D14)/(1+N(D$10))^3&gt;0,(N(D12)/(1+N(D$10))^1+N(D13)/(1+N(D$10))^2)+N(D14)/(1+N(D$10))^3&gt;=N(D$9),COUNT(D$57:D58)=0),2+(N(D$9)-(N(D12)/(1+N(D$10))^1+N(D13)/(1+N(D$10))^2))/(N(D14)/(1+N(D$10))^3),"")</f>
        <v/>
      </c>
      <c r="E59" s="50" t="str">
        <f aca="false">IF(AND(AND(COUNT(E12:E26)&gt;0,N(E9)&gt;0),N(E10)&gt;-1,N(E14)/(1+N(E$10))^3&gt;0,(N(E12)/(1+N(E$10))^1+N(E13)/(1+N(E$10))^2)+N(E14)/(1+N(E$10))^3&gt;=N(E$9),COUNT(E$57:E58)=0),2+(N(E$9)-(N(E12)/(1+N(E$10))^1+N(E13)/(1+N(E$10))^2))/(N(E14)/(1+N(E$10))^3),"")</f>
        <v/>
      </c>
      <c r="F59" s="50" t="str">
        <f aca="false">IF(AND(AND(COUNT(F12:F26)&gt;0,N(F9)&gt;0),N(F10)&gt;-1,N(F14)/(1+N(F$10))^3&gt;0,(N(F12)/(1+N(F$10))^1+N(F13)/(1+N(F$10))^2)+N(F14)/(1+N(F$10))^3&gt;=N(F$9),COUNT(F$57:F58)=0),2+(N(F$9)-(N(F12)/(1+N(F$10))^1+N(F13)/(1+N(F$10))^2))/(N(F14)/(1+N(F$10))^3),"")</f>
        <v/>
      </c>
    </row>
    <row r="60" customFormat="false" ht="15" hidden="false" customHeight="false" outlineLevel="0" collapsed="false">
      <c r="B60" s="49" t="n">
        <v>4</v>
      </c>
      <c r="C60" s="50" t="str">
        <f aca="false">IF(AND(AND(COUNT(C12:C26)&gt;0,N(C9)&gt;0),N(C10)&gt;-1,N(C15)/(1+N(C$10))^4&gt;0,(N(C12)/(1+N(C$10))^1+N(C13)/(1+N(C$10))^2+N(C14)/(1+N(C$10))^3)+N(C15)/(1+N(C$10))^4&gt;=N(C$9),COUNT(C$57:C59)=0),3+(N(C$9)-(N(C12)/(1+N(C$10))^1+N(C13)/(1+N(C$10))^2+N(C14)/(1+N(C$10))^3))/(N(C15)/(1+N(C$10))^4),"")</f>
        <v/>
      </c>
      <c r="D60" s="50" t="n">
        <f aca="false">IF(AND(AND(COUNT(D12:D26)&gt;0,N(D9)&gt;0),N(D10)&gt;-1,N(D15)/(1+N(D$10))^4&gt;0,(N(D12)/(1+N(D$10))^1+N(D13)/(1+N(D$10))^2+N(D14)/(1+N(D$10))^3)+N(D15)/(1+N(D$10))^4&gt;=N(D$9),COUNT(D$57:D59)=0),3+(N(D$9)-(N(D12)/(1+N(D$10))^1+N(D13)/(1+N(D$10))^2+N(D14)/(1+N(D$10))^3))/(N(D15)/(1+N(D$10))^4),"")</f>
        <v>3.53936666666667</v>
      </c>
      <c r="E60" s="50" t="str">
        <f aca="false">IF(AND(AND(COUNT(E12:E26)&gt;0,N(E9)&gt;0),N(E10)&gt;-1,N(E15)/(1+N(E$10))^4&gt;0,(N(E12)/(1+N(E$10))^1+N(E13)/(1+N(E$10))^2+N(E14)/(1+N(E$10))^3)+N(E15)/(1+N(E$10))^4&gt;=N(E$9),COUNT(E$57:E59)=0),3+(N(E$9)-(N(E12)/(1+N(E$10))^1+N(E13)/(1+N(E$10))^2+N(E14)/(1+N(E$10))^3))/(N(E15)/(1+N(E$10))^4),"")</f>
        <v/>
      </c>
      <c r="F60" s="50" t="str">
        <f aca="false">IF(AND(AND(COUNT(F12:F26)&gt;0,N(F9)&gt;0),N(F10)&gt;-1,N(F15)/(1+N(F$10))^4&gt;0,(N(F12)/(1+N(F$10))^1+N(F13)/(1+N(F$10))^2+N(F14)/(1+N(F$10))^3)+N(F15)/(1+N(F$10))^4&gt;=N(F$9),COUNT(F$57:F59)=0),3+(N(F$9)-(N(F12)/(1+N(F$10))^1+N(F13)/(1+N(F$10))^2+N(F14)/(1+N(F$10))^3))/(N(F15)/(1+N(F$10))^4),"")</f>
        <v/>
      </c>
    </row>
    <row r="61" customFormat="false" ht="15" hidden="false" customHeight="false" outlineLevel="0" collapsed="false">
      <c r="B61" s="49" t="n">
        <v>5</v>
      </c>
      <c r="C61" s="50" t="str">
        <f aca="false">IF(AND(AND(COUNT(C12:C26)&gt;0,N(C9)&gt;0),N(C10)&gt;-1,N(C16)/(1+N(C$10))^5&gt;0,(N(C12)/(1+N(C$10))^1+N(C13)/(1+N(C$10))^2+N(C14)/(1+N(C$10))^3+N(C15)/(1+N(C$10))^4)+N(C16)/(1+N(C$10))^5&gt;=N(C$9),COUNT(C$57:C60)=0),4+(N(C$9)-(N(C12)/(1+N(C$10))^1+N(C13)/(1+N(C$10))^2+N(C14)/(1+N(C$10))^3+N(C15)/(1+N(C$10))^4))/(N(C16)/(1+N(C$10))^5),"")</f>
        <v/>
      </c>
      <c r="D61" s="50" t="str">
        <f aca="false">IF(AND(AND(COUNT(D12:D26)&gt;0,N(D9)&gt;0),N(D10)&gt;-1,N(D16)/(1+N(D$10))^5&gt;0,(N(D12)/(1+N(D$10))^1+N(D13)/(1+N(D$10))^2+N(D14)/(1+N(D$10))^3+N(D15)/(1+N(D$10))^4)+N(D16)/(1+N(D$10))^5&gt;=N(D$9),COUNT(D$57:D60)=0),4+(N(D$9)-(N(D12)/(1+N(D$10))^1+N(D13)/(1+N(D$10))^2+N(D14)/(1+N(D$10))^3+N(D15)/(1+N(D$10))^4))/(N(D16)/(1+N(D$10))^5),"")</f>
        <v/>
      </c>
      <c r="E61" s="50" t="str">
        <f aca="false">IF(AND(AND(COUNT(E12:E26)&gt;0,N(E9)&gt;0),N(E10)&gt;-1,N(E16)/(1+N(E$10))^5&gt;0,(N(E12)/(1+N(E$10))^1+N(E13)/(1+N(E$10))^2+N(E14)/(1+N(E$10))^3+N(E15)/(1+N(E$10))^4)+N(E16)/(1+N(E$10))^5&gt;=N(E$9),COUNT(E$57:E60)=0),4+(N(E$9)-(N(E12)/(1+N(E$10))^1+N(E13)/(1+N(E$10))^2+N(E14)/(1+N(E$10))^3+N(E15)/(1+N(E$10))^4))/(N(E16)/(1+N(E$10))^5),"")</f>
        <v/>
      </c>
      <c r="F61" s="50" t="str">
        <f aca="false">IF(AND(AND(COUNT(F12:F26)&gt;0,N(F9)&gt;0),N(F10)&gt;-1,N(F16)/(1+N(F$10))^5&gt;0,(N(F12)/(1+N(F$10))^1+N(F13)/(1+N(F$10))^2+N(F14)/(1+N(F$10))^3+N(F15)/(1+N(F$10))^4)+N(F16)/(1+N(F$10))^5&gt;=N(F$9),COUNT(F$57:F60)=0),4+(N(F$9)-(N(F12)/(1+N(F$10))^1+N(F13)/(1+N(F$10))^2+N(F14)/(1+N(F$10))^3+N(F15)/(1+N(F$10))^4))/(N(F16)/(1+N(F$10))^5),"")</f>
        <v/>
      </c>
    </row>
    <row r="62" customFormat="false" ht="15" hidden="false" customHeight="false" outlineLevel="0" collapsed="false">
      <c r="B62" s="49" t="n">
        <v>6</v>
      </c>
      <c r="C62" s="50" t="str">
        <f aca="false">IF(AND(AND(COUNT(C12:C26)&gt;0,N(C9)&gt;0),N(C10)&gt;-1,N(C17)/(1+N(C$10))^6&gt;0,(N(C12)/(1+N(C$10))^1+N(C13)/(1+N(C$10))^2+N(C14)/(1+N(C$10))^3+N(C15)/(1+N(C$10))^4+N(C16)/(1+N(C$10))^5)+N(C17)/(1+N(C$10))^6&gt;=N(C$9),COUNT(C$57:C61)=0),5+(N(C$9)-(N(C12)/(1+N(C$10))^1+N(C13)/(1+N(C$10))^2+N(C14)/(1+N(C$10))^3+N(C15)/(1+N(C$10))^4+N(C16)/(1+N(C$10))^5))/(N(C17)/(1+N(C$10))^6),"")</f>
        <v/>
      </c>
      <c r="D62" s="50" t="str">
        <f aca="false">IF(AND(AND(COUNT(D12:D26)&gt;0,N(D9)&gt;0),N(D10)&gt;-1,N(D17)/(1+N(D$10))^6&gt;0,(N(D12)/(1+N(D$10))^1+N(D13)/(1+N(D$10))^2+N(D14)/(1+N(D$10))^3+N(D15)/(1+N(D$10))^4+N(D16)/(1+N(D$10))^5)+N(D17)/(1+N(D$10))^6&gt;=N(D$9),COUNT(D$57:D61)=0),5+(N(D$9)-(N(D12)/(1+N(D$10))^1+N(D13)/(1+N(D$10))^2+N(D14)/(1+N(D$10))^3+N(D15)/(1+N(D$10))^4+N(D16)/(1+N(D$10))^5))/(N(D17)/(1+N(D$10))^6),"")</f>
        <v/>
      </c>
      <c r="E62" s="50" t="str">
        <f aca="false">IF(AND(AND(COUNT(E12:E26)&gt;0,N(E9)&gt;0),N(E10)&gt;-1,N(E17)/(1+N(E$10))^6&gt;0,(N(E12)/(1+N(E$10))^1+N(E13)/(1+N(E$10))^2+N(E14)/(1+N(E$10))^3+N(E15)/(1+N(E$10))^4+N(E16)/(1+N(E$10))^5)+N(E17)/(1+N(E$10))^6&gt;=N(E$9),COUNT(E$57:E61)=0),5+(N(E$9)-(N(E12)/(1+N(E$10))^1+N(E13)/(1+N(E$10))^2+N(E14)/(1+N(E$10))^3+N(E15)/(1+N(E$10))^4+N(E16)/(1+N(E$10))^5))/(N(E17)/(1+N(E$10))^6),"")</f>
        <v/>
      </c>
      <c r="F62" s="50" t="str">
        <f aca="false">IF(AND(AND(COUNT(F12:F26)&gt;0,N(F9)&gt;0),N(F10)&gt;-1,N(F17)/(1+N(F$10))^6&gt;0,(N(F12)/(1+N(F$10))^1+N(F13)/(1+N(F$10))^2+N(F14)/(1+N(F$10))^3+N(F15)/(1+N(F$10))^4+N(F16)/(1+N(F$10))^5)+N(F17)/(1+N(F$10))^6&gt;=N(F$9),COUNT(F$57:F61)=0),5+(N(F$9)-(N(F12)/(1+N(F$10))^1+N(F13)/(1+N(F$10))^2+N(F14)/(1+N(F$10))^3+N(F15)/(1+N(F$10))^4+N(F16)/(1+N(F$10))^5))/(N(F17)/(1+N(F$10))^6),"")</f>
        <v/>
      </c>
    </row>
    <row r="63" customFormat="false" ht="15" hidden="false" customHeight="false" outlineLevel="0" collapsed="false">
      <c r="B63" s="49" t="n">
        <v>7</v>
      </c>
      <c r="C63" s="50" t="str">
        <f aca="false">IF(AND(AND(COUNT(C12:C26)&gt;0,N(C9)&gt;0),N(C10)&gt;-1,N(C18)/(1+N(C$10))^7&gt;0,(N(C12)/(1+N(C$10))^1+N(C13)/(1+N(C$10))^2+N(C14)/(1+N(C$10))^3+N(C15)/(1+N(C$10))^4+N(C16)/(1+N(C$10))^5+N(C17)/(1+N(C$10))^6)+N(C18)/(1+N(C$10))^7&gt;=N(C$9),COUNT(C$57:C62)=0),6+(N(C$9)-(N(C12)/(1+N(C$10))^1+N(C13)/(1+N(C$10))^2+N(C14)/(1+N(C$10))^3+N(C15)/(1+N(C$10))^4+N(C16)/(1+N(C$10))^5+N(C17)/(1+N(C$10))^6))/(N(C18)/(1+N(C$10))^7),"")</f>
        <v/>
      </c>
      <c r="D63" s="50" t="str">
        <f aca="false">IF(AND(AND(COUNT(D12:D26)&gt;0,N(D9)&gt;0),N(D10)&gt;-1,N(D18)/(1+N(D$10))^7&gt;0,(N(D12)/(1+N(D$10))^1+N(D13)/(1+N(D$10))^2+N(D14)/(1+N(D$10))^3+N(D15)/(1+N(D$10))^4+N(D16)/(1+N(D$10))^5+N(D17)/(1+N(D$10))^6)+N(D18)/(1+N(D$10))^7&gt;=N(D$9),COUNT(D$57:D62)=0),6+(N(D$9)-(N(D12)/(1+N(D$10))^1+N(D13)/(1+N(D$10))^2+N(D14)/(1+N(D$10))^3+N(D15)/(1+N(D$10))^4+N(D16)/(1+N(D$10))^5+N(D17)/(1+N(D$10))^6))/(N(D18)/(1+N(D$10))^7),"")</f>
        <v/>
      </c>
      <c r="E63" s="50" t="str">
        <f aca="false">IF(AND(AND(COUNT(E12:E26)&gt;0,N(E9)&gt;0),N(E10)&gt;-1,N(E18)/(1+N(E$10))^7&gt;0,(N(E12)/(1+N(E$10))^1+N(E13)/(1+N(E$10))^2+N(E14)/(1+N(E$10))^3+N(E15)/(1+N(E$10))^4+N(E16)/(1+N(E$10))^5+N(E17)/(1+N(E$10))^6)+N(E18)/(1+N(E$10))^7&gt;=N(E$9),COUNT(E$57:E62)=0),6+(N(E$9)-(N(E12)/(1+N(E$10))^1+N(E13)/(1+N(E$10))^2+N(E14)/(1+N(E$10))^3+N(E15)/(1+N(E$10))^4+N(E16)/(1+N(E$10))^5+N(E17)/(1+N(E$10))^6))/(N(E18)/(1+N(E$10))^7),"")</f>
        <v/>
      </c>
      <c r="F63" s="50" t="str">
        <f aca="false">IF(AND(AND(COUNT(F12:F26)&gt;0,N(F9)&gt;0),N(F10)&gt;-1,N(F18)/(1+N(F$10))^7&gt;0,(N(F12)/(1+N(F$10))^1+N(F13)/(1+N(F$10))^2+N(F14)/(1+N(F$10))^3+N(F15)/(1+N(F$10))^4+N(F16)/(1+N(F$10))^5+N(F17)/(1+N(F$10))^6)+N(F18)/(1+N(F$10))^7&gt;=N(F$9),COUNT(F$57:F62)=0),6+(N(F$9)-(N(F12)/(1+N(F$10))^1+N(F13)/(1+N(F$10))^2+N(F14)/(1+N(F$10))^3+N(F15)/(1+N(F$10))^4+N(F16)/(1+N(F$10))^5+N(F17)/(1+N(F$10))^6))/(N(F18)/(1+N(F$10))^7),"")</f>
        <v/>
      </c>
    </row>
    <row r="64" customFormat="false" ht="15" hidden="false" customHeight="false" outlineLevel="0" collapsed="false">
      <c r="B64" s="49" t="n">
        <v>8</v>
      </c>
      <c r="C64" s="50" t="str">
        <f aca="false">IF(AND(AND(COUNT(C12:C26)&gt;0,N(C9)&gt;0),N(C10)&gt;-1,N(C19)/(1+N(C$10))^8&gt;0,(N(C12)/(1+N(C$10))^1+N(C13)/(1+N(C$10))^2+N(C14)/(1+N(C$10))^3+N(C15)/(1+N(C$10))^4+N(C16)/(1+N(C$10))^5+N(C17)/(1+N(C$10))^6+N(C18)/(1+N(C$10))^7)+N(C19)/(1+N(C$10))^8&gt;=N(C$9),COUNT(C$57:C63)=0),7+(N(C$9)-(N(C12)/(1+N(C$10))^1+N(C13)/(1+N(C$10))^2+N(C14)/(1+N(C$10))^3+N(C15)/(1+N(C$10))^4+N(C16)/(1+N(C$10))^5+N(C17)/(1+N(C$10))^6+N(C18)/(1+N(C$10))^7))/(N(C19)/(1+N(C$10))^8),"")</f>
        <v/>
      </c>
      <c r="D64" s="50" t="str">
        <f aca="false">IF(AND(AND(COUNT(D12:D26)&gt;0,N(D9)&gt;0),N(D10)&gt;-1,N(D19)/(1+N(D$10))^8&gt;0,(N(D12)/(1+N(D$10))^1+N(D13)/(1+N(D$10))^2+N(D14)/(1+N(D$10))^3+N(D15)/(1+N(D$10))^4+N(D16)/(1+N(D$10))^5+N(D17)/(1+N(D$10))^6+N(D18)/(1+N(D$10))^7)+N(D19)/(1+N(D$10))^8&gt;=N(D$9),COUNT(D$57:D63)=0),7+(N(D$9)-(N(D12)/(1+N(D$10))^1+N(D13)/(1+N(D$10))^2+N(D14)/(1+N(D$10))^3+N(D15)/(1+N(D$10))^4+N(D16)/(1+N(D$10))^5+N(D17)/(1+N(D$10))^6+N(D18)/(1+N(D$10))^7))/(N(D19)/(1+N(D$10))^8),"")</f>
        <v/>
      </c>
      <c r="E64" s="50" t="str">
        <f aca="false">IF(AND(AND(COUNT(E12:E26)&gt;0,N(E9)&gt;0),N(E10)&gt;-1,N(E19)/(1+N(E$10))^8&gt;0,(N(E12)/(1+N(E$10))^1+N(E13)/(1+N(E$10))^2+N(E14)/(1+N(E$10))^3+N(E15)/(1+N(E$10))^4+N(E16)/(1+N(E$10))^5+N(E17)/(1+N(E$10))^6+N(E18)/(1+N(E$10))^7)+N(E19)/(1+N(E$10))^8&gt;=N(E$9),COUNT(E$57:E63)=0),7+(N(E$9)-(N(E12)/(1+N(E$10))^1+N(E13)/(1+N(E$10))^2+N(E14)/(1+N(E$10))^3+N(E15)/(1+N(E$10))^4+N(E16)/(1+N(E$10))^5+N(E17)/(1+N(E$10))^6+N(E18)/(1+N(E$10))^7))/(N(E19)/(1+N(E$10))^8),"")</f>
        <v/>
      </c>
      <c r="F64" s="50" t="str">
        <f aca="false">IF(AND(AND(COUNT(F12:F26)&gt;0,N(F9)&gt;0),N(F10)&gt;-1,N(F19)/(1+N(F$10))^8&gt;0,(N(F12)/(1+N(F$10))^1+N(F13)/(1+N(F$10))^2+N(F14)/(1+N(F$10))^3+N(F15)/(1+N(F$10))^4+N(F16)/(1+N(F$10))^5+N(F17)/(1+N(F$10))^6+N(F18)/(1+N(F$10))^7)+N(F19)/(1+N(F$10))^8&gt;=N(F$9),COUNT(F$57:F63)=0),7+(N(F$9)-(N(F12)/(1+N(F$10))^1+N(F13)/(1+N(F$10))^2+N(F14)/(1+N(F$10))^3+N(F15)/(1+N(F$10))^4+N(F16)/(1+N(F$10))^5+N(F17)/(1+N(F$10))^6+N(F18)/(1+N(F$10))^7))/(N(F19)/(1+N(F$10))^8),"")</f>
        <v/>
      </c>
    </row>
    <row r="65" customFormat="false" ht="15" hidden="false" customHeight="false" outlineLevel="0" collapsed="false">
      <c r="B65" s="49" t="n">
        <v>9</v>
      </c>
      <c r="C65" s="50" t="str">
        <f aca="false">IF(AND(AND(COUNT(C12:C26)&gt;0,N(C9)&gt;0),N(C10)&gt;-1,N(C20)/(1+N(C$10))^9&gt;0,(N(C12)/(1+N(C$10))^1+N(C13)/(1+N(C$10))^2+N(C14)/(1+N(C$10))^3+N(C15)/(1+N(C$10))^4+N(C16)/(1+N(C$10))^5+N(C17)/(1+N(C$10))^6+N(C18)/(1+N(C$10))^7+N(C19)/(1+N(C$10))^8)+N(C20)/(1+N(C$10))^9&gt;=N(C$9),COUNT(C$57:C64)=0),8+(N(C$9)-(N(C12)/(1+N(C$10))^1+N(C13)/(1+N(C$10))^2+N(C14)/(1+N(C$10))^3+N(C15)/(1+N(C$10))^4+N(C16)/(1+N(C$10))^5+N(C17)/(1+N(C$10))^6+N(C18)/(1+N(C$10))^7+N(C19)/(1+N(C$10))^8))/(N(C20)/(1+N(C$10))^9),"")</f>
        <v/>
      </c>
      <c r="D65" s="50" t="str">
        <f aca="false">IF(AND(AND(COUNT(D12:D26)&gt;0,N(D9)&gt;0),N(D10)&gt;-1,N(D20)/(1+N(D$10))^9&gt;0,(N(D12)/(1+N(D$10))^1+N(D13)/(1+N(D$10))^2+N(D14)/(1+N(D$10))^3+N(D15)/(1+N(D$10))^4+N(D16)/(1+N(D$10))^5+N(D17)/(1+N(D$10))^6+N(D18)/(1+N(D$10))^7+N(D19)/(1+N(D$10))^8)+N(D20)/(1+N(D$10))^9&gt;=N(D$9),COUNT(D$57:D64)=0),8+(N(D$9)-(N(D12)/(1+N(D$10))^1+N(D13)/(1+N(D$10))^2+N(D14)/(1+N(D$10))^3+N(D15)/(1+N(D$10))^4+N(D16)/(1+N(D$10))^5+N(D17)/(1+N(D$10))^6+N(D18)/(1+N(D$10))^7+N(D19)/(1+N(D$10))^8))/(N(D20)/(1+N(D$10))^9),"")</f>
        <v/>
      </c>
      <c r="E65" s="50" t="str">
        <f aca="false">IF(AND(AND(COUNT(E12:E26)&gt;0,N(E9)&gt;0),N(E10)&gt;-1,N(E20)/(1+N(E$10))^9&gt;0,(N(E12)/(1+N(E$10))^1+N(E13)/(1+N(E$10))^2+N(E14)/(1+N(E$10))^3+N(E15)/(1+N(E$10))^4+N(E16)/(1+N(E$10))^5+N(E17)/(1+N(E$10))^6+N(E18)/(1+N(E$10))^7+N(E19)/(1+N(E$10))^8)+N(E20)/(1+N(E$10))^9&gt;=N(E$9),COUNT(E$57:E64)=0),8+(N(E$9)-(N(E12)/(1+N(E$10))^1+N(E13)/(1+N(E$10))^2+N(E14)/(1+N(E$10))^3+N(E15)/(1+N(E$10))^4+N(E16)/(1+N(E$10))^5+N(E17)/(1+N(E$10))^6+N(E18)/(1+N(E$10))^7+N(E19)/(1+N(E$10))^8))/(N(E20)/(1+N(E$10))^9),"")</f>
        <v/>
      </c>
      <c r="F65" s="50" t="str">
        <f aca="false">IF(AND(AND(COUNT(F12:F26)&gt;0,N(F9)&gt;0),N(F10)&gt;-1,N(F20)/(1+N(F$10))^9&gt;0,(N(F12)/(1+N(F$10))^1+N(F13)/(1+N(F$10))^2+N(F14)/(1+N(F$10))^3+N(F15)/(1+N(F$10))^4+N(F16)/(1+N(F$10))^5+N(F17)/(1+N(F$10))^6+N(F18)/(1+N(F$10))^7+N(F19)/(1+N(F$10))^8)+N(F20)/(1+N(F$10))^9&gt;=N(F$9),COUNT(F$57:F64)=0),8+(N(F$9)-(N(F12)/(1+N(F$10))^1+N(F13)/(1+N(F$10))^2+N(F14)/(1+N(F$10))^3+N(F15)/(1+N(F$10))^4+N(F16)/(1+N(F$10))^5+N(F17)/(1+N(F$10))^6+N(F18)/(1+N(F$10))^7+N(F19)/(1+N(F$10))^8))/(N(F20)/(1+N(F$10))^9),"")</f>
        <v/>
      </c>
    </row>
    <row r="66" customFormat="false" ht="15" hidden="false" customHeight="false" outlineLevel="0" collapsed="false">
      <c r="B66" s="49" t="n">
        <v>10</v>
      </c>
      <c r="C66" s="50" t="str">
        <f aca="false">IF(AND(AND(COUNT(C12:C26)&gt;0,N(C9)&gt;0),N(C10)&gt;-1,N(C21)/(1+N(C$10))^10&gt;0,(N(C12)/(1+N(C$10))^1+N(C13)/(1+N(C$10))^2+N(C14)/(1+N(C$10))^3+N(C15)/(1+N(C$10))^4+N(C16)/(1+N(C$10))^5+N(C17)/(1+N(C$10))^6+N(C18)/(1+N(C$10))^7+N(C19)/(1+N(C$10))^8+N(C20)/(1+N(C$10))^9)+N(C21)/(1+N(C$10))^10&gt;=N(C$9),COUNT(C$57:C65)=0),9+(N(C$9)-(N(C12)/(1+N(C$10))^1+N(C13)/(1+N(C$10))^2+N(C14)/(1+N(C$10))^3+N(C15)/(1+N(C$10))^4+N(C16)/(1+N(C$10))^5+N(C17)/(1+N(C$10))^6+N(C18)/(1+N(C$10))^7+N(C19)/(1+N(C$10))^8+N(C20)/(1+N(C$10))^9))/(N(C21)/(1+N(C$10))^10),"")</f>
        <v/>
      </c>
      <c r="D66" s="50" t="str">
        <f aca="false">IF(AND(AND(COUNT(D12:D26)&gt;0,N(D9)&gt;0),N(D10)&gt;-1,N(D21)/(1+N(D$10))^10&gt;0,(N(D12)/(1+N(D$10))^1+N(D13)/(1+N(D$10))^2+N(D14)/(1+N(D$10))^3+N(D15)/(1+N(D$10))^4+N(D16)/(1+N(D$10))^5+N(D17)/(1+N(D$10))^6+N(D18)/(1+N(D$10))^7+N(D19)/(1+N(D$10))^8+N(D20)/(1+N(D$10))^9)+N(D21)/(1+N(D$10))^10&gt;=N(D$9),COUNT(D$57:D65)=0),9+(N(D$9)-(N(D12)/(1+N(D$10))^1+N(D13)/(1+N(D$10))^2+N(D14)/(1+N(D$10))^3+N(D15)/(1+N(D$10))^4+N(D16)/(1+N(D$10))^5+N(D17)/(1+N(D$10))^6+N(D18)/(1+N(D$10))^7+N(D19)/(1+N(D$10))^8+N(D20)/(1+N(D$10))^9))/(N(D21)/(1+N(D$10))^10),"")</f>
        <v/>
      </c>
      <c r="E66" s="50" t="str">
        <f aca="false">IF(AND(AND(COUNT(E12:E26)&gt;0,N(E9)&gt;0),N(E10)&gt;-1,N(E21)/(1+N(E$10))^10&gt;0,(N(E12)/(1+N(E$10))^1+N(E13)/(1+N(E$10))^2+N(E14)/(1+N(E$10))^3+N(E15)/(1+N(E$10))^4+N(E16)/(1+N(E$10))^5+N(E17)/(1+N(E$10))^6+N(E18)/(1+N(E$10))^7+N(E19)/(1+N(E$10))^8+N(E20)/(1+N(E$10))^9)+N(E21)/(1+N(E$10))^10&gt;=N(E$9),COUNT(E$57:E65)=0),9+(N(E$9)-(N(E12)/(1+N(E$10))^1+N(E13)/(1+N(E$10))^2+N(E14)/(1+N(E$10))^3+N(E15)/(1+N(E$10))^4+N(E16)/(1+N(E$10))^5+N(E17)/(1+N(E$10))^6+N(E18)/(1+N(E$10))^7+N(E19)/(1+N(E$10))^8+N(E20)/(1+N(E$10))^9))/(N(E21)/(1+N(E$10))^10),"")</f>
        <v/>
      </c>
      <c r="F66" s="50" t="str">
        <f aca="false">IF(AND(AND(COUNT(F12:F26)&gt;0,N(F9)&gt;0),N(F10)&gt;-1,N(F21)/(1+N(F$10))^10&gt;0,(N(F12)/(1+N(F$10))^1+N(F13)/(1+N(F$10))^2+N(F14)/(1+N(F$10))^3+N(F15)/(1+N(F$10))^4+N(F16)/(1+N(F$10))^5+N(F17)/(1+N(F$10))^6+N(F18)/(1+N(F$10))^7+N(F19)/(1+N(F$10))^8+N(F20)/(1+N(F$10))^9)+N(F21)/(1+N(F$10))^10&gt;=N(F$9),COUNT(F$57:F65)=0),9+(N(F$9)-(N(F12)/(1+N(F$10))^1+N(F13)/(1+N(F$10))^2+N(F14)/(1+N(F$10))^3+N(F15)/(1+N(F$10))^4+N(F16)/(1+N(F$10))^5+N(F17)/(1+N(F$10))^6+N(F18)/(1+N(F$10))^7+N(F19)/(1+N(F$10))^8+N(F20)/(1+N(F$10))^9))/(N(F21)/(1+N(F$10))^10),"")</f>
        <v/>
      </c>
    </row>
    <row r="67" customFormat="false" ht="15" hidden="false" customHeight="false" outlineLevel="0" collapsed="false">
      <c r="B67" s="49" t="n">
        <v>11</v>
      </c>
      <c r="C67" s="50" t="str">
        <f aca="false">IF(AND(AND(COUNT(C12:C26)&gt;0,N(C9)&gt;0),N(C10)&gt;-1,N(C22)/(1+N(C$10))^11&gt;0,(N(C12)/(1+N(C$10))^1+N(C13)/(1+N(C$10))^2+N(C14)/(1+N(C$10))^3+N(C15)/(1+N(C$10))^4+N(C16)/(1+N(C$10))^5+N(C17)/(1+N(C$10))^6+N(C18)/(1+N(C$10))^7+N(C19)/(1+N(C$10))^8+N(C20)/(1+N(C$10))^9+N(C21)/(1+N(C$10))^10)+N(C22)/(1+N(C$10))^11&gt;=N(C$9),COUNT(C$57:C66)=0),10+(N(C$9)-(N(C12)/(1+N(C$10))^1+N(C13)/(1+N(C$10))^2+N(C14)/(1+N(C$10))^3+N(C15)/(1+N(C$10))^4+N(C16)/(1+N(C$10))^5+N(C17)/(1+N(C$10))^6+N(C18)/(1+N(C$10))^7+N(C19)/(1+N(C$10))^8+N(C20)/(1+N(C$10))^9+N(C21)/(1+N(C$10))^10))/(N(C22)/(1+N(C$10))^11),"")</f>
        <v/>
      </c>
      <c r="D67" s="50" t="str">
        <f aca="false">IF(AND(AND(COUNT(D12:D26)&gt;0,N(D9)&gt;0),N(D10)&gt;-1,N(D22)/(1+N(D$10))^11&gt;0,(N(D12)/(1+N(D$10))^1+N(D13)/(1+N(D$10))^2+N(D14)/(1+N(D$10))^3+N(D15)/(1+N(D$10))^4+N(D16)/(1+N(D$10))^5+N(D17)/(1+N(D$10))^6+N(D18)/(1+N(D$10))^7+N(D19)/(1+N(D$10))^8+N(D20)/(1+N(D$10))^9+N(D21)/(1+N(D$10))^10)+N(D22)/(1+N(D$10))^11&gt;=N(D$9),COUNT(D$57:D66)=0),10+(N(D$9)-(N(D12)/(1+N(D$10))^1+N(D13)/(1+N(D$10))^2+N(D14)/(1+N(D$10))^3+N(D15)/(1+N(D$10))^4+N(D16)/(1+N(D$10))^5+N(D17)/(1+N(D$10))^6+N(D18)/(1+N(D$10))^7+N(D19)/(1+N(D$10))^8+N(D20)/(1+N(D$10))^9+N(D21)/(1+N(D$10))^10))/(N(D22)/(1+N(D$10))^11),"")</f>
        <v/>
      </c>
      <c r="E67" s="50" t="str">
        <f aca="false">IF(AND(AND(COUNT(E12:E26)&gt;0,N(E9)&gt;0),N(E10)&gt;-1,N(E22)/(1+N(E$10))^11&gt;0,(N(E12)/(1+N(E$10))^1+N(E13)/(1+N(E$10))^2+N(E14)/(1+N(E$10))^3+N(E15)/(1+N(E$10))^4+N(E16)/(1+N(E$10))^5+N(E17)/(1+N(E$10))^6+N(E18)/(1+N(E$10))^7+N(E19)/(1+N(E$10))^8+N(E20)/(1+N(E$10))^9+N(E21)/(1+N(E$10))^10)+N(E22)/(1+N(E$10))^11&gt;=N(E$9),COUNT(E$57:E66)=0),10+(N(E$9)-(N(E12)/(1+N(E$10))^1+N(E13)/(1+N(E$10))^2+N(E14)/(1+N(E$10))^3+N(E15)/(1+N(E$10))^4+N(E16)/(1+N(E$10))^5+N(E17)/(1+N(E$10))^6+N(E18)/(1+N(E$10))^7+N(E19)/(1+N(E$10))^8+N(E20)/(1+N(E$10))^9+N(E21)/(1+N(E$10))^10))/(N(E22)/(1+N(E$10))^11),"")</f>
        <v/>
      </c>
      <c r="F67" s="50" t="str">
        <f aca="false">IF(AND(AND(COUNT(F12:F26)&gt;0,N(F9)&gt;0),N(F10)&gt;-1,N(F22)/(1+N(F$10))^11&gt;0,(N(F12)/(1+N(F$10))^1+N(F13)/(1+N(F$10))^2+N(F14)/(1+N(F$10))^3+N(F15)/(1+N(F$10))^4+N(F16)/(1+N(F$10))^5+N(F17)/(1+N(F$10))^6+N(F18)/(1+N(F$10))^7+N(F19)/(1+N(F$10))^8+N(F20)/(1+N(F$10))^9+N(F21)/(1+N(F$10))^10)+N(F22)/(1+N(F$10))^11&gt;=N(F$9),COUNT(F$57:F66)=0),10+(N(F$9)-(N(F12)/(1+N(F$10))^1+N(F13)/(1+N(F$10))^2+N(F14)/(1+N(F$10))^3+N(F15)/(1+N(F$10))^4+N(F16)/(1+N(F$10))^5+N(F17)/(1+N(F$10))^6+N(F18)/(1+N(F$10))^7+N(F19)/(1+N(F$10))^8+N(F20)/(1+N(F$10))^9+N(F21)/(1+N(F$10))^10))/(N(F22)/(1+N(F$10))^11),"")</f>
        <v/>
      </c>
    </row>
    <row r="68" customFormat="false" ht="15" hidden="false" customHeight="false" outlineLevel="0" collapsed="false">
      <c r="B68" s="49" t="n">
        <v>12</v>
      </c>
      <c r="C68" s="50" t="str">
        <f aca="false">IF(AND(AND(COUNT(C12:C26)&gt;0,N(C9)&gt;0),N(C10)&gt;-1,N(C23)/(1+N(C$10))^12&gt;0,(N(C12)/(1+N(C$10))^1+N(C13)/(1+N(C$10))^2+N(C14)/(1+N(C$10))^3+N(C15)/(1+N(C$10))^4+N(C16)/(1+N(C$10))^5+N(C17)/(1+N(C$10))^6+N(C18)/(1+N(C$10))^7+N(C19)/(1+N(C$10))^8+N(C20)/(1+N(C$10))^9+N(C21)/(1+N(C$10))^10+N(C22)/(1+N(C$10))^11)+N(C23)/(1+N(C$10))^12&gt;=N(C$9),COUNT(C$57:C67)=0),11+(N(C$9)-(N(C12)/(1+N(C$10))^1+N(C13)/(1+N(C$10))^2+N(C14)/(1+N(C$10))^3+N(C15)/(1+N(C$10))^4+N(C16)/(1+N(C$10))^5+N(C17)/(1+N(C$10))^6+N(C18)/(1+N(C$10))^7+N(C19)/(1+N(C$10))^8+N(C20)/(1+N(C$10))^9+N(C21)/(1+N(C$10))^10+N(C22)/(1+N(C$10))^11))/(N(C23)/(1+N(C$10))^12),"")</f>
        <v/>
      </c>
      <c r="D68" s="50" t="str">
        <f aca="false">IF(AND(AND(COUNT(D12:D26)&gt;0,N(D9)&gt;0),N(D10)&gt;-1,N(D23)/(1+N(D$10))^12&gt;0,(N(D12)/(1+N(D$10))^1+N(D13)/(1+N(D$10))^2+N(D14)/(1+N(D$10))^3+N(D15)/(1+N(D$10))^4+N(D16)/(1+N(D$10))^5+N(D17)/(1+N(D$10))^6+N(D18)/(1+N(D$10))^7+N(D19)/(1+N(D$10))^8+N(D20)/(1+N(D$10))^9+N(D21)/(1+N(D$10))^10+N(D22)/(1+N(D$10))^11)+N(D23)/(1+N(D$10))^12&gt;=N(D$9),COUNT(D$57:D67)=0),11+(N(D$9)-(N(D12)/(1+N(D$10))^1+N(D13)/(1+N(D$10))^2+N(D14)/(1+N(D$10))^3+N(D15)/(1+N(D$10))^4+N(D16)/(1+N(D$10))^5+N(D17)/(1+N(D$10))^6+N(D18)/(1+N(D$10))^7+N(D19)/(1+N(D$10))^8+N(D20)/(1+N(D$10))^9+N(D21)/(1+N(D$10))^10+N(D22)/(1+N(D$10))^11))/(N(D23)/(1+N(D$10))^12),"")</f>
        <v/>
      </c>
      <c r="E68" s="50" t="str">
        <f aca="false">IF(AND(AND(COUNT(E12:E26)&gt;0,N(E9)&gt;0),N(E10)&gt;-1,N(E23)/(1+N(E$10))^12&gt;0,(N(E12)/(1+N(E$10))^1+N(E13)/(1+N(E$10))^2+N(E14)/(1+N(E$10))^3+N(E15)/(1+N(E$10))^4+N(E16)/(1+N(E$10))^5+N(E17)/(1+N(E$10))^6+N(E18)/(1+N(E$10))^7+N(E19)/(1+N(E$10))^8+N(E20)/(1+N(E$10))^9+N(E21)/(1+N(E$10))^10+N(E22)/(1+N(E$10))^11)+N(E23)/(1+N(E$10))^12&gt;=N(E$9),COUNT(E$57:E67)=0),11+(N(E$9)-(N(E12)/(1+N(E$10))^1+N(E13)/(1+N(E$10))^2+N(E14)/(1+N(E$10))^3+N(E15)/(1+N(E$10))^4+N(E16)/(1+N(E$10))^5+N(E17)/(1+N(E$10))^6+N(E18)/(1+N(E$10))^7+N(E19)/(1+N(E$10))^8+N(E20)/(1+N(E$10))^9+N(E21)/(1+N(E$10))^10+N(E22)/(1+N(E$10))^11))/(N(E23)/(1+N(E$10))^12),"")</f>
        <v/>
      </c>
      <c r="F68" s="50" t="str">
        <f aca="false">IF(AND(AND(COUNT(F12:F26)&gt;0,N(F9)&gt;0),N(F10)&gt;-1,N(F23)/(1+N(F$10))^12&gt;0,(N(F12)/(1+N(F$10))^1+N(F13)/(1+N(F$10))^2+N(F14)/(1+N(F$10))^3+N(F15)/(1+N(F$10))^4+N(F16)/(1+N(F$10))^5+N(F17)/(1+N(F$10))^6+N(F18)/(1+N(F$10))^7+N(F19)/(1+N(F$10))^8+N(F20)/(1+N(F$10))^9+N(F21)/(1+N(F$10))^10+N(F22)/(1+N(F$10))^11)+N(F23)/(1+N(F$10))^12&gt;=N(F$9),COUNT(F$57:F67)=0),11+(N(F$9)-(N(F12)/(1+N(F$10))^1+N(F13)/(1+N(F$10))^2+N(F14)/(1+N(F$10))^3+N(F15)/(1+N(F$10))^4+N(F16)/(1+N(F$10))^5+N(F17)/(1+N(F$10))^6+N(F18)/(1+N(F$10))^7+N(F19)/(1+N(F$10))^8+N(F20)/(1+N(F$10))^9+N(F21)/(1+N(F$10))^10+N(F22)/(1+N(F$10))^11))/(N(F23)/(1+N(F$10))^12),"")</f>
        <v/>
      </c>
    </row>
    <row r="69" customFormat="false" ht="15" hidden="false" customHeight="false" outlineLevel="0" collapsed="false">
      <c r="B69" s="49" t="n">
        <v>13</v>
      </c>
      <c r="C69" s="50" t="str">
        <f aca="false">IF(AND(AND(COUNT(C12:C26)&gt;0,N(C9)&gt;0),N(C10)&gt;-1,N(C24)/(1+N(C$10))^13&gt;0,(N(C12)/(1+N(C$10))^1+N(C13)/(1+N(C$10))^2+N(C14)/(1+N(C$10))^3+N(C15)/(1+N(C$10))^4+N(C16)/(1+N(C$10))^5+N(C17)/(1+N(C$10))^6+N(C18)/(1+N(C$10))^7+N(C19)/(1+N(C$10))^8+N(C20)/(1+N(C$10))^9+N(C21)/(1+N(C$10))^10+N(C22)/(1+N(C$10))^11+N(C23)/(1+N(C$10))^12)+N(C24)/(1+N(C$10))^13&gt;=N(C$9),COUNT(C$57:C68)=0),12+(N(C$9)-(N(C12)/(1+N(C$10))^1+N(C13)/(1+N(C$10))^2+N(C14)/(1+N(C$10))^3+N(C15)/(1+N(C$10))^4+N(C16)/(1+N(C$10))^5+N(C17)/(1+N(C$10))^6+N(C18)/(1+N(C$10))^7+N(C19)/(1+N(C$10))^8+N(C20)/(1+N(C$10))^9+N(C21)/(1+N(C$10))^10+N(C22)/(1+N(C$10))^11+N(C23)/(1+N(C$10))^12))/(N(C24)/(1+N(C$10))^13),"")</f>
        <v/>
      </c>
      <c r="D69" s="50" t="str">
        <f aca="false">IF(AND(AND(COUNT(D12:D26)&gt;0,N(D9)&gt;0),N(D10)&gt;-1,N(D24)/(1+N(D$10))^13&gt;0,(N(D12)/(1+N(D$10))^1+N(D13)/(1+N(D$10))^2+N(D14)/(1+N(D$10))^3+N(D15)/(1+N(D$10))^4+N(D16)/(1+N(D$10))^5+N(D17)/(1+N(D$10))^6+N(D18)/(1+N(D$10))^7+N(D19)/(1+N(D$10))^8+N(D20)/(1+N(D$10))^9+N(D21)/(1+N(D$10))^10+N(D22)/(1+N(D$10))^11+N(D23)/(1+N(D$10))^12)+N(D24)/(1+N(D$10))^13&gt;=N(D$9),COUNT(D$57:D68)=0),12+(N(D$9)-(N(D12)/(1+N(D$10))^1+N(D13)/(1+N(D$10))^2+N(D14)/(1+N(D$10))^3+N(D15)/(1+N(D$10))^4+N(D16)/(1+N(D$10))^5+N(D17)/(1+N(D$10))^6+N(D18)/(1+N(D$10))^7+N(D19)/(1+N(D$10))^8+N(D20)/(1+N(D$10))^9+N(D21)/(1+N(D$10))^10+N(D22)/(1+N(D$10))^11+N(D23)/(1+N(D$10))^12))/(N(D24)/(1+N(D$10))^13),"")</f>
        <v/>
      </c>
      <c r="E69" s="50" t="str">
        <f aca="false">IF(AND(AND(COUNT(E12:E26)&gt;0,N(E9)&gt;0),N(E10)&gt;-1,N(E24)/(1+N(E$10))^13&gt;0,(N(E12)/(1+N(E$10))^1+N(E13)/(1+N(E$10))^2+N(E14)/(1+N(E$10))^3+N(E15)/(1+N(E$10))^4+N(E16)/(1+N(E$10))^5+N(E17)/(1+N(E$10))^6+N(E18)/(1+N(E$10))^7+N(E19)/(1+N(E$10))^8+N(E20)/(1+N(E$10))^9+N(E21)/(1+N(E$10))^10+N(E22)/(1+N(E$10))^11+N(E23)/(1+N(E$10))^12)+N(E24)/(1+N(E$10))^13&gt;=N(E$9),COUNT(E$57:E68)=0),12+(N(E$9)-(N(E12)/(1+N(E$10))^1+N(E13)/(1+N(E$10))^2+N(E14)/(1+N(E$10))^3+N(E15)/(1+N(E$10))^4+N(E16)/(1+N(E$10))^5+N(E17)/(1+N(E$10))^6+N(E18)/(1+N(E$10))^7+N(E19)/(1+N(E$10))^8+N(E20)/(1+N(E$10))^9+N(E21)/(1+N(E$10))^10+N(E22)/(1+N(E$10))^11+N(E23)/(1+N(E$10))^12))/(N(E24)/(1+N(E$10))^13),"")</f>
        <v/>
      </c>
      <c r="F69" s="50" t="str">
        <f aca="false">IF(AND(AND(COUNT(F12:F26)&gt;0,N(F9)&gt;0),N(F10)&gt;-1,N(F24)/(1+N(F$10))^13&gt;0,(N(F12)/(1+N(F$10))^1+N(F13)/(1+N(F$10))^2+N(F14)/(1+N(F$10))^3+N(F15)/(1+N(F$10))^4+N(F16)/(1+N(F$10))^5+N(F17)/(1+N(F$10))^6+N(F18)/(1+N(F$10))^7+N(F19)/(1+N(F$10))^8+N(F20)/(1+N(F$10))^9+N(F21)/(1+N(F$10))^10+N(F22)/(1+N(F$10))^11+N(F23)/(1+N(F$10))^12)+N(F24)/(1+N(F$10))^13&gt;=N(F$9),COUNT(F$57:F68)=0),12+(N(F$9)-(N(F12)/(1+N(F$10))^1+N(F13)/(1+N(F$10))^2+N(F14)/(1+N(F$10))^3+N(F15)/(1+N(F$10))^4+N(F16)/(1+N(F$10))^5+N(F17)/(1+N(F$10))^6+N(F18)/(1+N(F$10))^7+N(F19)/(1+N(F$10))^8+N(F20)/(1+N(F$10))^9+N(F21)/(1+N(F$10))^10+N(F22)/(1+N(F$10))^11+N(F23)/(1+N(F$10))^12))/(N(F24)/(1+N(F$10))^13),"")</f>
        <v/>
      </c>
    </row>
    <row r="70" customFormat="false" ht="15" hidden="false" customHeight="false" outlineLevel="0" collapsed="false">
      <c r="B70" s="49" t="n">
        <v>14</v>
      </c>
      <c r="C70" s="50" t="str">
        <f aca="false">IF(AND(AND(COUNT(C12:C26)&gt;0,N(C9)&gt;0),N(C10)&gt;-1,N(C25)/(1+N(C$10))^14&gt;0,(N(C12)/(1+N(C$10))^1+N(C13)/(1+N(C$10))^2+N(C14)/(1+N(C$10))^3+N(C15)/(1+N(C$10))^4+N(C16)/(1+N(C$10))^5+N(C17)/(1+N(C$10))^6+N(C18)/(1+N(C$10))^7+N(C19)/(1+N(C$10))^8+N(C20)/(1+N(C$10))^9+N(C21)/(1+N(C$10))^10+N(C22)/(1+N(C$10))^11+N(C23)/(1+N(C$10))^12+N(C24)/(1+N(C$10))^13)+N(C25)/(1+N(C$10))^14&gt;=N(C$9),COUNT(C$57:C69)=0),13+(N(C$9)-(N(C12)/(1+N(C$10))^1+N(C13)/(1+N(C$10))^2+N(C14)/(1+N(C$10))^3+N(C15)/(1+N(C$10))^4+N(C16)/(1+N(C$10))^5+N(C17)/(1+N(C$10))^6+N(C18)/(1+N(C$10))^7+N(C19)/(1+N(C$10))^8+N(C20)/(1+N(C$10))^9+N(C21)/(1+N(C$10))^10+N(C22)/(1+N(C$10))^11+N(C23)/(1+N(C$10))^12+N(C24)/(1+N(C$10))^13))/(N(C25)/(1+N(C$10))^14),"")</f>
        <v/>
      </c>
      <c r="D70" s="50" t="str">
        <f aca="false">IF(AND(AND(COUNT(D12:D26)&gt;0,N(D9)&gt;0),N(D10)&gt;-1,N(D25)/(1+N(D$10))^14&gt;0,(N(D12)/(1+N(D$10))^1+N(D13)/(1+N(D$10))^2+N(D14)/(1+N(D$10))^3+N(D15)/(1+N(D$10))^4+N(D16)/(1+N(D$10))^5+N(D17)/(1+N(D$10))^6+N(D18)/(1+N(D$10))^7+N(D19)/(1+N(D$10))^8+N(D20)/(1+N(D$10))^9+N(D21)/(1+N(D$10))^10+N(D22)/(1+N(D$10))^11+N(D23)/(1+N(D$10))^12+N(D24)/(1+N(D$10))^13)+N(D25)/(1+N(D$10))^14&gt;=N(D$9),COUNT(D$57:D69)=0),13+(N(D$9)-(N(D12)/(1+N(D$10))^1+N(D13)/(1+N(D$10))^2+N(D14)/(1+N(D$10))^3+N(D15)/(1+N(D$10))^4+N(D16)/(1+N(D$10))^5+N(D17)/(1+N(D$10))^6+N(D18)/(1+N(D$10))^7+N(D19)/(1+N(D$10))^8+N(D20)/(1+N(D$10))^9+N(D21)/(1+N(D$10))^10+N(D22)/(1+N(D$10))^11+N(D23)/(1+N(D$10))^12+N(D24)/(1+N(D$10))^13))/(N(D25)/(1+N(D$10))^14),"")</f>
        <v/>
      </c>
      <c r="E70" s="50" t="str">
        <f aca="false">IF(AND(AND(COUNT(E12:E26)&gt;0,N(E9)&gt;0),N(E10)&gt;-1,N(E25)/(1+N(E$10))^14&gt;0,(N(E12)/(1+N(E$10))^1+N(E13)/(1+N(E$10))^2+N(E14)/(1+N(E$10))^3+N(E15)/(1+N(E$10))^4+N(E16)/(1+N(E$10))^5+N(E17)/(1+N(E$10))^6+N(E18)/(1+N(E$10))^7+N(E19)/(1+N(E$10))^8+N(E20)/(1+N(E$10))^9+N(E21)/(1+N(E$10))^10+N(E22)/(1+N(E$10))^11+N(E23)/(1+N(E$10))^12+N(E24)/(1+N(E$10))^13)+N(E25)/(1+N(E$10))^14&gt;=N(E$9),COUNT(E$57:E69)=0),13+(N(E$9)-(N(E12)/(1+N(E$10))^1+N(E13)/(1+N(E$10))^2+N(E14)/(1+N(E$10))^3+N(E15)/(1+N(E$10))^4+N(E16)/(1+N(E$10))^5+N(E17)/(1+N(E$10))^6+N(E18)/(1+N(E$10))^7+N(E19)/(1+N(E$10))^8+N(E20)/(1+N(E$10))^9+N(E21)/(1+N(E$10))^10+N(E22)/(1+N(E$10))^11+N(E23)/(1+N(E$10))^12+N(E24)/(1+N(E$10))^13))/(N(E25)/(1+N(E$10))^14),"")</f>
        <v/>
      </c>
      <c r="F70" s="50" t="str">
        <f aca="false">IF(AND(AND(COUNT(F12:F26)&gt;0,N(F9)&gt;0),N(F10)&gt;-1,N(F25)/(1+N(F$10))^14&gt;0,(N(F12)/(1+N(F$10))^1+N(F13)/(1+N(F$10))^2+N(F14)/(1+N(F$10))^3+N(F15)/(1+N(F$10))^4+N(F16)/(1+N(F$10))^5+N(F17)/(1+N(F$10))^6+N(F18)/(1+N(F$10))^7+N(F19)/(1+N(F$10))^8+N(F20)/(1+N(F$10))^9+N(F21)/(1+N(F$10))^10+N(F22)/(1+N(F$10))^11+N(F23)/(1+N(F$10))^12+N(F24)/(1+N(F$10))^13)+N(F25)/(1+N(F$10))^14&gt;=N(F$9),COUNT(F$57:F69)=0),13+(N(F$9)-(N(F12)/(1+N(F$10))^1+N(F13)/(1+N(F$10))^2+N(F14)/(1+N(F$10))^3+N(F15)/(1+N(F$10))^4+N(F16)/(1+N(F$10))^5+N(F17)/(1+N(F$10))^6+N(F18)/(1+N(F$10))^7+N(F19)/(1+N(F$10))^8+N(F20)/(1+N(F$10))^9+N(F21)/(1+N(F$10))^10+N(F22)/(1+N(F$10))^11+N(F23)/(1+N(F$10))^12+N(F24)/(1+N(F$10))^13))/(N(F25)/(1+N(F$10))^14),"")</f>
        <v/>
      </c>
    </row>
    <row r="71" customFormat="false" ht="15" hidden="false" customHeight="false" outlineLevel="0" collapsed="false">
      <c r="B71" s="49" t="n">
        <v>15</v>
      </c>
      <c r="C71" s="50" t="str">
        <f aca="false">IF(AND(AND(COUNT(C12:C26)&gt;0,N(C9)&gt;0),N(C10)&gt;-1,N(C26)/(1+N(C$10))^15&gt;0,(N(C12)/(1+N(C$10))^1+N(C13)/(1+N(C$10))^2+N(C14)/(1+N(C$10))^3+N(C15)/(1+N(C$10))^4+N(C16)/(1+N(C$10))^5+N(C17)/(1+N(C$10))^6+N(C18)/(1+N(C$10))^7+N(C19)/(1+N(C$10))^8+N(C20)/(1+N(C$10))^9+N(C21)/(1+N(C$10))^10+N(C22)/(1+N(C$10))^11+N(C23)/(1+N(C$10))^12+N(C24)/(1+N(C$10))^13+N(C25)/(1+N(C$10))^14)+N(C26)/(1+N(C$10))^15&gt;=N(C$9),COUNT(C$57:C70)=0),14+(N(C$9)-(N(C12)/(1+N(C$10))^1+N(C13)/(1+N(C$10))^2+N(C14)/(1+N(C$10))^3+N(C15)/(1+N(C$10))^4+N(C16)/(1+N(C$10))^5+N(C17)/(1+N(C$10))^6+N(C18)/(1+N(C$10))^7+N(C19)/(1+N(C$10))^8+N(C20)/(1+N(C$10))^9+N(C21)/(1+N(C$10))^10+N(C22)/(1+N(C$10))^11+N(C23)/(1+N(C$10))^12+N(C24)/(1+N(C$10))^13+N(C25)/(1+N(C$10))^14))/(N(C26)/(1+N(C$10))^15),"")</f>
        <v/>
      </c>
      <c r="D71" s="50" t="str">
        <f aca="false">IF(AND(AND(COUNT(D12:D26)&gt;0,N(D9)&gt;0),N(D10)&gt;-1,N(D26)/(1+N(D$10))^15&gt;0,(N(D12)/(1+N(D$10))^1+N(D13)/(1+N(D$10))^2+N(D14)/(1+N(D$10))^3+N(D15)/(1+N(D$10))^4+N(D16)/(1+N(D$10))^5+N(D17)/(1+N(D$10))^6+N(D18)/(1+N(D$10))^7+N(D19)/(1+N(D$10))^8+N(D20)/(1+N(D$10))^9+N(D21)/(1+N(D$10))^10+N(D22)/(1+N(D$10))^11+N(D23)/(1+N(D$10))^12+N(D24)/(1+N(D$10))^13+N(D25)/(1+N(D$10))^14)+N(D26)/(1+N(D$10))^15&gt;=N(D$9),COUNT(D$57:D70)=0),14+(N(D$9)-(N(D12)/(1+N(D$10))^1+N(D13)/(1+N(D$10))^2+N(D14)/(1+N(D$10))^3+N(D15)/(1+N(D$10))^4+N(D16)/(1+N(D$10))^5+N(D17)/(1+N(D$10))^6+N(D18)/(1+N(D$10))^7+N(D19)/(1+N(D$10))^8+N(D20)/(1+N(D$10))^9+N(D21)/(1+N(D$10))^10+N(D22)/(1+N(D$10))^11+N(D23)/(1+N(D$10))^12+N(D24)/(1+N(D$10))^13+N(D25)/(1+N(D$10))^14))/(N(D26)/(1+N(D$10))^15),"")</f>
        <v/>
      </c>
      <c r="E71" s="50" t="str">
        <f aca="false">IF(AND(AND(COUNT(E12:E26)&gt;0,N(E9)&gt;0),N(E10)&gt;-1,N(E26)/(1+N(E$10))^15&gt;0,(N(E12)/(1+N(E$10))^1+N(E13)/(1+N(E$10))^2+N(E14)/(1+N(E$10))^3+N(E15)/(1+N(E$10))^4+N(E16)/(1+N(E$10))^5+N(E17)/(1+N(E$10))^6+N(E18)/(1+N(E$10))^7+N(E19)/(1+N(E$10))^8+N(E20)/(1+N(E$10))^9+N(E21)/(1+N(E$10))^10+N(E22)/(1+N(E$10))^11+N(E23)/(1+N(E$10))^12+N(E24)/(1+N(E$10))^13+N(E25)/(1+N(E$10))^14)+N(E26)/(1+N(E$10))^15&gt;=N(E$9),COUNT(E$57:E70)=0),14+(N(E$9)-(N(E12)/(1+N(E$10))^1+N(E13)/(1+N(E$10))^2+N(E14)/(1+N(E$10))^3+N(E15)/(1+N(E$10))^4+N(E16)/(1+N(E$10))^5+N(E17)/(1+N(E$10))^6+N(E18)/(1+N(E$10))^7+N(E19)/(1+N(E$10))^8+N(E20)/(1+N(E$10))^9+N(E21)/(1+N(E$10))^10+N(E22)/(1+N(E$10))^11+N(E23)/(1+N(E$10))^12+N(E24)/(1+N(E$10))^13+N(E25)/(1+N(E$10))^14))/(N(E26)/(1+N(E$10))^15),"")</f>
        <v/>
      </c>
      <c r="F71" s="50" t="str">
        <f aca="false">IF(AND(AND(COUNT(F12:F26)&gt;0,N(F9)&gt;0),N(F10)&gt;-1,N(F26)/(1+N(F$10))^15&gt;0,(N(F12)/(1+N(F$10))^1+N(F13)/(1+N(F$10))^2+N(F14)/(1+N(F$10))^3+N(F15)/(1+N(F$10))^4+N(F16)/(1+N(F$10))^5+N(F17)/(1+N(F$10))^6+N(F18)/(1+N(F$10))^7+N(F19)/(1+N(F$10))^8+N(F20)/(1+N(F$10))^9+N(F21)/(1+N(F$10))^10+N(F22)/(1+N(F$10))^11+N(F23)/(1+N(F$10))^12+N(F24)/(1+N(F$10))^13+N(F25)/(1+N(F$10))^14)+N(F26)/(1+N(F$10))^15&gt;=N(F$9),COUNT(F$57:F70)=0),14+(N(F$9)-(N(F12)/(1+N(F$10))^1+N(F13)/(1+N(F$10))^2+N(F14)/(1+N(F$10))^3+N(F15)/(1+N(F$10))^4+N(F16)/(1+N(F$10))^5+N(F17)/(1+N(F$10))^6+N(F18)/(1+N(F$10))^7+N(F19)/(1+N(F$10))^8+N(F20)/(1+N(F$10))^9+N(F21)/(1+N(F$10))^10+N(F22)/(1+N(F$10))^11+N(F23)/(1+N(F$10))^12+N(F24)/(1+N(F$10))^13+N(F25)/(1+N(F$10))^14))/(N(F26)/(1+N(F$10))^15),"")</f>
        <v/>
      </c>
    </row>
  </sheetData>
  <mergeCells count="1">
    <mergeCell ref="B34:F35"/>
  </mergeCells>
  <conditionalFormatting sqref="C28">
    <cfRule type="expression" priority="2" aboveAverage="0" equalAverage="0" bottom="0" percent="0" rank="0" text="" dxfId="5">
      <formula>C28="Not recovered"</formula>
    </cfRule>
  </conditionalFormatting>
  <conditionalFormatting sqref="C29">
    <cfRule type="expression" priority="3" aboveAverage="0" equalAverage="0" bottom="0" percent="0" rank="0" text="" dxfId="5">
      <formula>C29="Not recovered"</formula>
    </cfRule>
  </conditionalFormatting>
  <conditionalFormatting sqref="D28">
    <cfRule type="expression" priority="4" aboveAverage="0" equalAverage="0" bottom="0" percent="0" rank="0" text="" dxfId="5">
      <formula>D28="Not recovered"</formula>
    </cfRule>
  </conditionalFormatting>
  <conditionalFormatting sqref="D29">
    <cfRule type="expression" priority="5" aboveAverage="0" equalAverage="0" bottom="0" percent="0" rank="0" text="" dxfId="5">
      <formula>D29="Not recovered"</formula>
    </cfRule>
  </conditionalFormatting>
  <conditionalFormatting sqref="E28">
    <cfRule type="expression" priority="6" aboveAverage="0" equalAverage="0" bottom="0" percent="0" rank="0" text="" dxfId="5">
      <formula>E28="Not recovered"</formula>
    </cfRule>
  </conditionalFormatting>
  <conditionalFormatting sqref="E29">
    <cfRule type="expression" priority="7" aboveAverage="0" equalAverage="0" bottom="0" percent="0" rank="0" text="" dxfId="5">
      <formula>E29="Not recovered"</formula>
    </cfRule>
  </conditionalFormatting>
  <conditionalFormatting sqref="F28">
    <cfRule type="expression" priority="8" aboveAverage="0" equalAverage="0" bottom="0" percent="0" rank="0" text="" dxfId="5">
      <formula>F28="Not recovered"</formula>
    </cfRule>
  </conditionalFormatting>
  <conditionalFormatting sqref="F29">
    <cfRule type="expression" priority="9" aboveAverage="0" equalAverage="0" bottom="0" percent="0" rank="0" text="" dxfId="5">
      <formula>F29="Not recovered"</formula>
    </cfRule>
  </conditionalFormatting>
  <conditionalFormatting sqref="C32:F32">
    <cfRule type="expression" priority="10" aboveAverage="0" equalAverage="0" bottom="0" percent="0" rank="0" text="" dxfId="6">
      <formula>C32=1</formula>
    </cfRule>
  </conditionalFormatting>
  <dataValidations count="3">
    <dataValidation allowBlank="true" error="Enter a rate above −100%." errorStyle="stop" errorTitle="Discount rate" operator="greaterThan" showDropDown="false" showErrorMessage="true" showInputMessage="false" sqref="C10:F10" type="decimal">
      <formula1>-1</formula1>
      <formula2>0</formula2>
    </dataValidation>
    <dataValidation allowBlank="true" error="Enter a number." errorStyle="stop" errorTitle="Cash flow" operator="between" showDropDown="false" showErrorMessage="true" showInputMessage="false" sqref="C12:F26" type="decimal">
      <formula1>-1000000000000000</formula1>
      <formula2>0</formula2>
    </dataValidation>
    <dataValidation allowBlank="true" error="Enter a number above zero." errorStyle="stop" errorTitle="Initial investment" operator="between" showDropDown="false" showErrorMessage="true" showInputMessage="false" sqref="C9:F9" type="decimal">
      <formula1>-1000000000000000</formula1>
      <formula2>0</formula2>
    </dataValidation>
  </dataValidations>
  <printOptions headings="false" gridLines="false" gridLinesSet="true" horizontalCentered="true" verticalCentered="false"/>
  <pageMargins left="0.5" right="0.5" top="1" bottom="1"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94A3B8"/>
    <pageSetUpPr fitToPage="true"/>
  </sheetPr>
  <dimension ref="A1:G3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34"/>
    <col collapsed="false" customWidth="true" hidden="false" outlineLevel="0" max="5" min="3" style="0" width="16"/>
    <col collapsed="false" customWidth="true" hidden="false" outlineLevel="0" max="6" min="6" style="0" width="40"/>
    <col collapsed="false" customWidth="true" hidden="false" outlineLevel="0" max="7" min="7" style="0" width="3"/>
  </cols>
  <sheetData>
    <row r="1" customFormat="false" ht="7.5" hidden="false" customHeight="true" outlineLevel="0" collapsed="false">
      <c r="A1" s="1"/>
      <c r="B1" s="1"/>
      <c r="C1" s="1"/>
      <c r="D1" s="1"/>
      <c r="E1" s="1"/>
      <c r="F1" s="1"/>
      <c r="G1" s="1"/>
    </row>
    <row r="2" customFormat="false" ht="30" hidden="false" customHeight="true" outlineLevel="0" collapsed="false">
      <c r="A2" s="1"/>
      <c r="B2" s="2" t="s">
        <v>53</v>
      </c>
      <c r="C2" s="1"/>
      <c r="D2" s="1"/>
      <c r="E2" s="1"/>
      <c r="F2" s="1"/>
      <c r="G2" s="1"/>
    </row>
    <row r="3" customFormat="false" ht="19.5" hidden="false" customHeight="true" outlineLevel="0" collapsed="false">
      <c r="A3" s="1"/>
      <c r="B3" s="3" t="s">
        <v>101</v>
      </c>
      <c r="C3" s="1"/>
      <c r="D3" s="1"/>
      <c r="E3" s="1"/>
      <c r="F3" s="1"/>
      <c r="G3" s="1"/>
    </row>
    <row r="4" customFormat="false" ht="7.5" hidden="false" customHeight="true" outlineLevel="0" collapsed="false">
      <c r="A4" s="1"/>
      <c r="B4" s="1"/>
      <c r="C4" s="1"/>
      <c r="D4" s="1"/>
      <c r="E4" s="1"/>
      <c r="F4" s="1"/>
      <c r="G4" s="1"/>
    </row>
    <row r="5" customFormat="false" ht="3" hidden="false" customHeight="true" outlineLevel="0" collapsed="false">
      <c r="A5" s="4"/>
      <c r="B5" s="4"/>
      <c r="C5" s="4"/>
      <c r="D5" s="4"/>
      <c r="E5" s="4"/>
      <c r="F5" s="4"/>
      <c r="G5" s="4"/>
    </row>
    <row r="7" customFormat="false" ht="19.5" hidden="false" customHeight="true" outlineLevel="0" collapsed="false">
      <c r="B7" s="5" t="s">
        <v>102</v>
      </c>
      <c r="C7" s="6"/>
      <c r="D7" s="6"/>
      <c r="E7" s="6"/>
      <c r="F7" s="6"/>
    </row>
    <row r="8" customFormat="false" ht="43.5" hidden="false" customHeight="true" outlineLevel="0" collapsed="false">
      <c r="B8" s="7" t="s">
        <v>103</v>
      </c>
      <c r="C8" s="7"/>
      <c r="D8" s="7"/>
      <c r="E8" s="7"/>
      <c r="F8" s="7"/>
    </row>
    <row r="9" customFormat="false" ht="15" hidden="false" customHeight="false" outlineLevel="0" collapsed="false">
      <c r="B9" s="18" t="s">
        <v>16</v>
      </c>
      <c r="C9" s="19" t="n">
        <v>20000</v>
      </c>
    </row>
    <row r="10" customFormat="false" ht="18" hidden="false" customHeight="true" outlineLevel="0" collapsed="false">
      <c r="B10" s="25" t="s">
        <v>68</v>
      </c>
      <c r="C10" s="26" t="s">
        <v>69</v>
      </c>
      <c r="D10" s="26"/>
      <c r="E10" s="26" t="s">
        <v>104</v>
      </c>
      <c r="F10" s="26" t="s">
        <v>71</v>
      </c>
    </row>
    <row r="11" customFormat="false" ht="15" hidden="false" customHeight="false" outlineLevel="0" collapsed="false">
      <c r="B11" s="51" t="n">
        <v>1</v>
      </c>
      <c r="C11" s="19" t="n">
        <v>8000</v>
      </c>
      <c r="E11" s="30" t="n">
        <f aca="false">0+C11</f>
        <v>8000</v>
      </c>
      <c r="F11" s="52" t="str">
        <f aca="false">IF(AND(C11&gt;0,0+C11&gt;=$C$9,TRUE()),B11-1+($C$9-0)/C11,"")</f>
        <v/>
      </c>
    </row>
    <row r="12" customFormat="false" ht="15" hidden="false" customHeight="false" outlineLevel="0" collapsed="false">
      <c r="B12" s="51" t="n">
        <v>2</v>
      </c>
      <c r="C12" s="19" t="n">
        <v>8000</v>
      </c>
      <c r="E12" s="30" t="n">
        <f aca="false">E11+C12</f>
        <v>16000</v>
      </c>
      <c r="F12" s="52" t="str">
        <f aca="false">IF(AND(C12&gt;0,E11+C12&gt;=$C$9,COUNT(F$11:F11)=0),B12-1+($C$9-E11)/C12,"")</f>
        <v/>
      </c>
    </row>
    <row r="13" customFormat="false" ht="15" hidden="false" customHeight="false" outlineLevel="0" collapsed="false">
      <c r="B13" s="51" t="n">
        <v>3</v>
      </c>
      <c r="C13" s="19" t="n">
        <v>8000</v>
      </c>
      <c r="E13" s="30" t="n">
        <f aca="false">E12+C13</f>
        <v>24000</v>
      </c>
      <c r="F13" s="52" t="n">
        <f aca="false">IF(AND(C13&gt;0,E12+C13&gt;=$C$9,COUNT(F$11:F12)=0),B13-1+($C$9-E12)/C13,"")</f>
        <v>2.5</v>
      </c>
    </row>
    <row r="14" customFormat="false" ht="15" hidden="false" customHeight="false" outlineLevel="0" collapsed="false">
      <c r="B14" s="42" t="s">
        <v>105</v>
      </c>
      <c r="C14" s="44" t="n">
        <f aca="false">IF(COUNT(F11:F13)=0,"Not recovered",SUM(F11:F13))</f>
        <v>2.5</v>
      </c>
    </row>
    <row r="15" customFormat="false" ht="15" hidden="false" customHeight="true" outlineLevel="0" collapsed="false">
      <c r="B15" s="42" t="s">
        <v>106</v>
      </c>
      <c r="C15" s="53" t="n">
        <f aca="false">C9/C11</f>
        <v>2.5</v>
      </c>
      <c r="D15" s="20" t="s">
        <v>107</v>
      </c>
      <c r="E15" s="20"/>
      <c r="F15" s="20"/>
    </row>
    <row r="16" customFormat="false" ht="15" hidden="false" customHeight="true" outlineLevel="0" collapsed="false">
      <c r="B16" s="42" t="s">
        <v>108</v>
      </c>
      <c r="C16" s="53" t="n">
        <f aca="false">COUNTIF(E11:E13,"&lt;"&amp;C9)+(C9-INDEX(E11:E13,COUNTIF(E11:E13,"&lt;"&amp;C9)))/INDEX(C11:C13,COUNTIF(E11:E13,"&lt;"&amp;C9)+1)</f>
        <v>2.5</v>
      </c>
      <c r="D16" s="20" t="s">
        <v>109</v>
      </c>
      <c r="E16" s="20"/>
      <c r="F16" s="20"/>
    </row>
    <row r="18" customFormat="false" ht="19.5" hidden="false" customHeight="true" outlineLevel="0" collapsed="false">
      <c r="B18" s="5" t="s">
        <v>110</v>
      </c>
      <c r="C18" s="6"/>
      <c r="D18" s="6"/>
      <c r="E18" s="6"/>
      <c r="F18" s="6"/>
    </row>
    <row r="19" customFormat="false" ht="43.5" hidden="false" customHeight="true" outlineLevel="0" collapsed="false">
      <c r="B19" s="7" t="s">
        <v>111</v>
      </c>
      <c r="C19" s="7"/>
      <c r="D19" s="7"/>
      <c r="E19" s="7"/>
      <c r="F19" s="7"/>
    </row>
    <row r="20" customFormat="false" ht="15" hidden="false" customHeight="false" outlineLevel="0" collapsed="false">
      <c r="B20" s="18" t="s">
        <v>16</v>
      </c>
      <c r="C20" s="19" t="n">
        <v>60000</v>
      </c>
    </row>
    <row r="21" customFormat="false" ht="18" hidden="false" customHeight="true" outlineLevel="0" collapsed="false">
      <c r="B21" s="25" t="s">
        <v>68</v>
      </c>
      <c r="C21" s="26" t="s">
        <v>69</v>
      </c>
      <c r="D21" s="26"/>
      <c r="E21" s="26" t="s">
        <v>104</v>
      </c>
      <c r="F21" s="26" t="s">
        <v>71</v>
      </c>
    </row>
    <row r="22" customFormat="false" ht="15" hidden="false" customHeight="false" outlineLevel="0" collapsed="false">
      <c r="B22" s="51" t="n">
        <v>1</v>
      </c>
      <c r="C22" s="19" t="n">
        <v>15000</v>
      </c>
      <c r="E22" s="30" t="n">
        <f aca="false">0+C22</f>
        <v>15000</v>
      </c>
      <c r="F22" s="52" t="str">
        <f aca="false">IF(AND(C22&gt;0,0+C22&gt;=$C$20,TRUE()),B22-1+($C$20-0)/C22,"")</f>
        <v/>
      </c>
    </row>
    <row r="23" customFormat="false" ht="15" hidden="false" customHeight="false" outlineLevel="0" collapsed="false">
      <c r="B23" s="51" t="n">
        <v>2</v>
      </c>
      <c r="C23" s="19" t="n">
        <v>20000</v>
      </c>
      <c r="E23" s="30" t="n">
        <f aca="false">E22+C23</f>
        <v>35000</v>
      </c>
      <c r="F23" s="52" t="str">
        <f aca="false">IF(AND(C23&gt;0,E22+C23&gt;=$C$20,COUNT(F$22:F22)=0),B23-1+($C$20-E22)/C23,"")</f>
        <v/>
      </c>
    </row>
    <row r="24" customFormat="false" ht="15" hidden="false" customHeight="false" outlineLevel="0" collapsed="false">
      <c r="B24" s="51" t="n">
        <v>3</v>
      </c>
      <c r="C24" s="19" t="n">
        <v>25000</v>
      </c>
      <c r="E24" s="30" t="n">
        <f aca="false">E23+C24</f>
        <v>60000</v>
      </c>
      <c r="F24" s="52" t="n">
        <f aca="false">IF(AND(C24&gt;0,E23+C24&gt;=$C$20,COUNT(F$22:F23)=0),B24-1+($C$20-E23)/C24,"")</f>
        <v>3</v>
      </c>
    </row>
    <row r="25" customFormat="false" ht="15" hidden="false" customHeight="false" outlineLevel="0" collapsed="false">
      <c r="B25" s="51" t="n">
        <v>4</v>
      </c>
      <c r="C25" s="19" t="n">
        <v>30000</v>
      </c>
      <c r="E25" s="30" t="n">
        <f aca="false">E24+C25</f>
        <v>90000</v>
      </c>
      <c r="F25" s="52" t="str">
        <f aca="false">IF(AND(C25&gt;0,E24+C25&gt;=$C$20,COUNT(F$22:F24)=0),B25-1+($C$20-E24)/C25,"")</f>
        <v/>
      </c>
    </row>
    <row r="26" customFormat="false" ht="15" hidden="false" customHeight="false" outlineLevel="0" collapsed="false">
      <c r="B26" s="42" t="s">
        <v>105</v>
      </c>
      <c r="C26" s="44" t="n">
        <f aca="false">IF(COUNT(F22:F25)=0,"Not recovered",SUM(F22:F25))</f>
        <v>3</v>
      </c>
    </row>
    <row r="28" customFormat="false" ht="19.5" hidden="false" customHeight="true" outlineLevel="0" collapsed="false">
      <c r="B28" s="5" t="s">
        <v>112</v>
      </c>
      <c r="C28" s="6"/>
      <c r="D28" s="6"/>
      <c r="E28" s="6"/>
      <c r="F28" s="6"/>
    </row>
    <row r="29" customFormat="false" ht="43.5" hidden="false" customHeight="true" outlineLevel="0" collapsed="false">
      <c r="B29" s="7" t="s">
        <v>113</v>
      </c>
      <c r="C29" s="7"/>
      <c r="D29" s="7"/>
      <c r="E29" s="7"/>
      <c r="F29" s="7"/>
    </row>
    <row r="30" customFormat="false" ht="15" hidden="false" customHeight="false" outlineLevel="0" collapsed="false">
      <c r="B30" s="18" t="s">
        <v>16</v>
      </c>
      <c r="C30" s="19" t="n">
        <v>20000</v>
      </c>
    </row>
    <row r="31" customFormat="false" ht="15" hidden="false" customHeight="false" outlineLevel="0" collapsed="false">
      <c r="B31" s="18" t="s">
        <v>18</v>
      </c>
      <c r="C31" s="22" t="n">
        <v>0.1</v>
      </c>
    </row>
    <row r="32" customFormat="false" ht="18" hidden="false" customHeight="true" outlineLevel="0" collapsed="false">
      <c r="B32" s="25" t="s">
        <v>68</v>
      </c>
      <c r="C32" s="26" t="s">
        <v>69</v>
      </c>
      <c r="D32" s="26" t="s">
        <v>114</v>
      </c>
      <c r="E32" s="26" t="s">
        <v>104</v>
      </c>
      <c r="F32" s="26" t="s">
        <v>71</v>
      </c>
    </row>
    <row r="33" customFormat="false" ht="15" hidden="false" customHeight="false" outlineLevel="0" collapsed="false">
      <c r="B33" s="51" t="n">
        <v>1</v>
      </c>
      <c r="C33" s="19" t="n">
        <v>8000</v>
      </c>
      <c r="D33" s="30" t="n">
        <f aca="false">C33/(1+$C$31)^B33</f>
        <v>7272.72727272727</v>
      </c>
      <c r="E33" s="30" t="n">
        <f aca="false">0+D33</f>
        <v>7272.72727272727</v>
      </c>
      <c r="F33" s="52" t="str">
        <f aca="false">IF(AND(D33&gt;0,0+D33&gt;=$C$30,TRUE()),B33-1+($C$30-0)/D33,"")</f>
        <v/>
      </c>
    </row>
    <row r="34" customFormat="false" ht="15" hidden="false" customHeight="false" outlineLevel="0" collapsed="false">
      <c r="B34" s="51" t="n">
        <v>2</v>
      </c>
      <c r="C34" s="19" t="n">
        <v>8000</v>
      </c>
      <c r="D34" s="30" t="n">
        <f aca="false">C34/(1+$C$31)^B34</f>
        <v>6611.57024793388</v>
      </c>
      <c r="E34" s="30" t="n">
        <f aca="false">E33+D34</f>
        <v>13884.2975206612</v>
      </c>
      <c r="F34" s="52" t="str">
        <f aca="false">IF(AND(D34&gt;0,E33+D34&gt;=$C$30,COUNT(F$33:F33)=0),B34-1+($C$30-E33)/D34,"")</f>
        <v/>
      </c>
    </row>
    <row r="35" customFormat="false" ht="15" hidden="false" customHeight="false" outlineLevel="0" collapsed="false">
      <c r="B35" s="51" t="n">
        <v>3</v>
      </c>
      <c r="C35" s="19" t="n">
        <v>8000</v>
      </c>
      <c r="D35" s="30" t="n">
        <f aca="false">C35/(1+$C$31)^B35</f>
        <v>6010.51840721262</v>
      </c>
      <c r="E35" s="30" t="n">
        <f aca="false">E34+D35</f>
        <v>19894.8159278738</v>
      </c>
      <c r="F35" s="52" t="str">
        <f aca="false">IF(AND(D35&gt;0,E34+D35&gt;=$C$30,COUNT(F$33:F34)=0),B35-1+($C$30-E34)/D35,"")</f>
        <v/>
      </c>
    </row>
    <row r="36" customFormat="false" ht="15" hidden="false" customHeight="false" outlineLevel="0" collapsed="false">
      <c r="B36" s="42" t="s">
        <v>105</v>
      </c>
      <c r="C36" s="44" t="str">
        <f aca="false">IF(COUNT(F33:F35)=0,"Not recovered",SUM(F33:F35))</f>
        <v>Not recovered</v>
      </c>
    </row>
    <row r="37" customFormat="false" ht="15" hidden="false" customHeight="true" outlineLevel="0" collapsed="false">
      <c r="B37" s="42" t="s">
        <v>115</v>
      </c>
      <c r="C37" s="54" t="n">
        <f aca="false">C30-E35</f>
        <v>105.184072126223</v>
      </c>
      <c r="D37" s="20" t="s">
        <v>116</v>
      </c>
      <c r="E37" s="20"/>
      <c r="F37" s="20"/>
    </row>
    <row r="39" customFormat="false" ht="15" hidden="false" customHeight="true" outlineLevel="0" collapsed="false">
      <c r="B39" s="15" t="s">
        <v>117</v>
      </c>
      <c r="C39" s="15"/>
      <c r="D39" s="15"/>
      <c r="E39" s="15"/>
      <c r="F39" s="15"/>
    </row>
  </sheetData>
  <mergeCells count="7">
    <mergeCell ref="B8:F8"/>
    <mergeCell ref="D15:F15"/>
    <mergeCell ref="D16:F16"/>
    <mergeCell ref="B19:F19"/>
    <mergeCell ref="B29:F29"/>
    <mergeCell ref="D37:F37"/>
    <mergeCell ref="B39:F39"/>
  </mergeCells>
  <printOptions headings="false" gridLines="false" gridLinesSet="true" horizontalCentered="true" verticalCentered="false"/>
  <pageMargins left="0.5" right="0.5" top="1" bottom="1"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94A3B8"/>
    <pageSetUpPr fitToPage="true"/>
  </sheetPr>
  <dimension ref="A1:E3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28"/>
    <col collapsed="false" customWidth="true" hidden="false" outlineLevel="0" max="3" min="3" style="0" width="50"/>
    <col collapsed="false" customWidth="true" hidden="false" outlineLevel="0" max="4" min="4" style="0" width="52"/>
    <col collapsed="false" customWidth="true" hidden="false" outlineLevel="0" max="5" min="5" style="0" width="3"/>
  </cols>
  <sheetData>
    <row r="1" customFormat="false" ht="7.5" hidden="false" customHeight="true" outlineLevel="0" collapsed="false">
      <c r="A1" s="1"/>
      <c r="B1" s="1"/>
      <c r="C1" s="1"/>
      <c r="D1" s="1"/>
      <c r="E1" s="1"/>
    </row>
    <row r="2" customFormat="false" ht="30" hidden="false" customHeight="true" outlineLevel="0" collapsed="false">
      <c r="A2" s="1"/>
      <c r="B2" s="2" t="s">
        <v>55</v>
      </c>
      <c r="C2" s="1"/>
      <c r="D2" s="1"/>
      <c r="E2" s="1"/>
    </row>
    <row r="3" customFormat="false" ht="19.5" hidden="false" customHeight="true" outlineLevel="0" collapsed="false">
      <c r="A3" s="1"/>
      <c r="B3" s="3" t="s">
        <v>118</v>
      </c>
      <c r="C3" s="1"/>
      <c r="D3" s="1"/>
      <c r="E3" s="1"/>
    </row>
    <row r="4" customFormat="false" ht="7.5" hidden="false" customHeight="true" outlineLevel="0" collapsed="false">
      <c r="A4" s="1"/>
      <c r="B4" s="1"/>
      <c r="C4" s="1"/>
      <c r="D4" s="1"/>
      <c r="E4" s="1"/>
    </row>
    <row r="5" customFormat="false" ht="3" hidden="false" customHeight="true" outlineLevel="0" collapsed="false">
      <c r="A5" s="4"/>
      <c r="B5" s="4"/>
      <c r="C5" s="4"/>
      <c r="D5" s="4"/>
      <c r="E5" s="4"/>
    </row>
    <row r="7" customFormat="false" ht="19.5" hidden="false" customHeight="true" outlineLevel="0" collapsed="false">
      <c r="B7" s="5" t="s">
        <v>119</v>
      </c>
      <c r="C7" s="6"/>
      <c r="D7" s="6"/>
    </row>
    <row r="8" customFormat="false" ht="19.5" hidden="false" customHeight="true" outlineLevel="0" collapsed="false">
      <c r="B8" s="25" t="s">
        <v>120</v>
      </c>
      <c r="C8" s="26" t="s">
        <v>121</v>
      </c>
      <c r="D8" s="26" t="s">
        <v>122</v>
      </c>
    </row>
    <row r="9" customFormat="false" ht="30" hidden="false" customHeight="true" outlineLevel="0" collapsed="false">
      <c r="B9" s="55" t="s">
        <v>70</v>
      </c>
      <c r="C9" s="56" t="s">
        <v>123</v>
      </c>
      <c r="D9" s="57" t="s">
        <v>124</v>
      </c>
    </row>
    <row r="10" customFormat="false" ht="51.75" hidden="false" customHeight="true" outlineLevel="0" collapsed="false">
      <c r="B10" s="55" t="s">
        <v>71</v>
      </c>
      <c r="C10" s="56" t="s">
        <v>125</v>
      </c>
      <c r="D10" s="57" t="s">
        <v>126</v>
      </c>
    </row>
    <row r="11" customFormat="false" ht="30" hidden="false" customHeight="true" outlineLevel="0" collapsed="false">
      <c r="B11" s="55" t="s">
        <v>66</v>
      </c>
      <c r="C11" s="56" t="s">
        <v>127</v>
      </c>
      <c r="D11" s="57" t="s">
        <v>128</v>
      </c>
    </row>
    <row r="12" customFormat="false" ht="30" hidden="false" customHeight="true" outlineLevel="0" collapsed="false">
      <c r="B12" s="55" t="s">
        <v>72</v>
      </c>
      <c r="C12" s="56" t="s">
        <v>129</v>
      </c>
      <c r="D12" s="57" t="s">
        <v>130</v>
      </c>
    </row>
    <row r="13" customFormat="false" ht="30" hidden="false" customHeight="true" outlineLevel="0" collapsed="false">
      <c r="B13" s="55" t="s">
        <v>34</v>
      </c>
      <c r="C13" s="56" t="s">
        <v>131</v>
      </c>
      <c r="D13" s="57" t="s">
        <v>132</v>
      </c>
    </row>
    <row r="14" customFormat="false" ht="30" hidden="false" customHeight="true" outlineLevel="0" collapsed="false">
      <c r="B14" s="55" t="s">
        <v>133</v>
      </c>
      <c r="C14" s="56" t="s">
        <v>134</v>
      </c>
      <c r="D14" s="57" t="s">
        <v>135</v>
      </c>
    </row>
    <row r="16" customFormat="false" ht="19.5" hidden="false" customHeight="true" outlineLevel="0" collapsed="false">
      <c r="B16" s="5" t="s">
        <v>136</v>
      </c>
      <c r="C16" s="6"/>
      <c r="D16" s="6"/>
    </row>
    <row r="17" customFormat="false" ht="30" hidden="false" customHeight="true" outlineLevel="0" collapsed="false">
      <c r="B17" s="7" t="s">
        <v>137</v>
      </c>
      <c r="C17" s="7"/>
      <c r="D17" s="7"/>
    </row>
    <row r="18" customFormat="false" ht="30" hidden="false" customHeight="true" outlineLevel="0" collapsed="false">
      <c r="B18" s="7" t="s">
        <v>138</v>
      </c>
      <c r="C18" s="7"/>
      <c r="D18" s="7"/>
    </row>
    <row r="19" customFormat="false" ht="18" hidden="false" customHeight="true" outlineLevel="0" collapsed="false">
      <c r="B19" s="7" t="s">
        <v>139</v>
      </c>
      <c r="C19" s="7"/>
      <c r="D19" s="7"/>
    </row>
    <row r="20" customFormat="false" ht="18" hidden="false" customHeight="true" outlineLevel="0" collapsed="false">
      <c r="B20" s="7" t="s">
        <v>140</v>
      </c>
      <c r="C20" s="7"/>
      <c r="D20" s="7"/>
    </row>
    <row r="21" customFormat="false" ht="30" hidden="false" customHeight="true" outlineLevel="0" collapsed="false">
      <c r="B21" s="7" t="s">
        <v>141</v>
      </c>
      <c r="C21" s="7"/>
      <c r="D21" s="7"/>
    </row>
    <row r="23" customFormat="false" ht="19.5" hidden="false" customHeight="true" outlineLevel="0" collapsed="false">
      <c r="B23" s="5" t="s">
        <v>142</v>
      </c>
      <c r="C23" s="6"/>
      <c r="D23" s="6"/>
    </row>
    <row r="24" customFormat="false" ht="18" hidden="false" customHeight="true" outlineLevel="0" collapsed="false">
      <c r="B24" s="8" t="s">
        <v>143</v>
      </c>
      <c r="C24" s="7" t="s">
        <v>144</v>
      </c>
      <c r="D24" s="7"/>
    </row>
    <row r="25" customFormat="false" ht="30" hidden="false" customHeight="true" outlineLevel="0" collapsed="false">
      <c r="B25" s="8" t="s">
        <v>145</v>
      </c>
      <c r="C25" s="58" t="s">
        <v>146</v>
      </c>
      <c r="D25" s="58"/>
    </row>
    <row r="26" customFormat="false" ht="30" hidden="false" customHeight="true" outlineLevel="0" collapsed="false">
      <c r="B26" s="8" t="s">
        <v>147</v>
      </c>
      <c r="C26" s="7" t="s">
        <v>148</v>
      </c>
      <c r="D26" s="7"/>
    </row>
    <row r="27" customFormat="false" ht="18" hidden="false" customHeight="true" outlineLevel="0" collapsed="false">
      <c r="B27" s="8" t="s">
        <v>34</v>
      </c>
      <c r="C27" s="7" t="s">
        <v>149</v>
      </c>
      <c r="D27" s="7"/>
    </row>
    <row r="29" customFormat="false" ht="19.5" hidden="false" customHeight="true" outlineLevel="0" collapsed="false">
      <c r="B29" s="5" t="s">
        <v>150</v>
      </c>
      <c r="C29" s="6"/>
      <c r="D29" s="6"/>
    </row>
    <row r="30" customFormat="false" ht="15" hidden="false" customHeight="false" outlineLevel="0" collapsed="false">
      <c r="B30" s="59" t="s">
        <v>151</v>
      </c>
      <c r="C30" s="18" t="s">
        <v>152</v>
      </c>
    </row>
    <row r="31" customFormat="false" ht="15" hidden="false" customHeight="false" outlineLevel="0" collapsed="false">
      <c r="B31" s="59" t="s">
        <v>153</v>
      </c>
      <c r="C31" s="18" t="s">
        <v>154</v>
      </c>
    </row>
    <row r="32" customFormat="false" ht="15" hidden="false" customHeight="false" outlineLevel="0" collapsed="false">
      <c r="B32" s="59" t="s">
        <v>155</v>
      </c>
      <c r="C32" s="18" t="s">
        <v>156</v>
      </c>
    </row>
    <row r="33" customFormat="false" ht="15" hidden="false" customHeight="false" outlineLevel="0" collapsed="false">
      <c r="B33" s="59" t="s">
        <v>157</v>
      </c>
      <c r="C33" s="18" t="s">
        <v>158</v>
      </c>
    </row>
    <row r="34" customFormat="false" ht="15" hidden="false" customHeight="false" outlineLevel="0" collapsed="false">
      <c r="B34" s="59" t="s">
        <v>159</v>
      </c>
      <c r="C34" s="18" t="s">
        <v>160</v>
      </c>
    </row>
    <row r="35" customFormat="false" ht="15" hidden="false" customHeight="false" outlineLevel="0" collapsed="false">
      <c r="B35" s="59" t="s">
        <v>161</v>
      </c>
      <c r="C35" s="18" t="s">
        <v>162</v>
      </c>
    </row>
    <row r="36" customFormat="false" ht="15" hidden="false" customHeight="false" outlineLevel="0" collapsed="false">
      <c r="B36" s="59" t="s">
        <v>163</v>
      </c>
      <c r="C36" s="18" t="s">
        <v>164</v>
      </c>
    </row>
    <row r="37" customFormat="false" ht="15" hidden="false" customHeight="false" outlineLevel="0" collapsed="false">
      <c r="B37" s="59" t="s">
        <v>165</v>
      </c>
      <c r="C37" s="18" t="s">
        <v>166</v>
      </c>
    </row>
  </sheetData>
  <mergeCells count="9">
    <mergeCell ref="B17:D17"/>
    <mergeCell ref="B18:D18"/>
    <mergeCell ref="B19:D19"/>
    <mergeCell ref="B20:D20"/>
    <mergeCell ref="B21:D21"/>
    <mergeCell ref="C24:D24"/>
    <mergeCell ref="C25:D25"/>
    <mergeCell ref="C26:D26"/>
    <mergeCell ref="C27:D27"/>
  </mergeCells>
  <printOptions headings="false" gridLines="false" gridLinesSet="true" horizontalCentered="true" verticalCentered="false"/>
  <pageMargins left="0.5" right="0.5" top="1" bottom="1"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94A3B8"/>
    <pageSetUpPr fitToPage="true"/>
  </sheetPr>
  <dimension ref="A1:F2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60"/>
    <col collapsed="false" customWidth="true" hidden="false" outlineLevel="0" max="4" min="3" style="0" width="16"/>
    <col collapsed="false" customWidth="true" hidden="false" outlineLevel="0" max="5" min="5" style="0" width="12"/>
    <col collapsed="false" customWidth="true" hidden="false" outlineLevel="0" max="6" min="6" style="0" width="3"/>
  </cols>
  <sheetData>
    <row r="1" customFormat="false" ht="7.5" hidden="false" customHeight="true" outlineLevel="0" collapsed="false">
      <c r="A1" s="1"/>
      <c r="B1" s="1"/>
      <c r="C1" s="1"/>
      <c r="D1" s="1"/>
      <c r="E1" s="1"/>
      <c r="F1" s="1"/>
    </row>
    <row r="2" customFormat="false" ht="30" hidden="false" customHeight="true" outlineLevel="0" collapsed="false">
      <c r="A2" s="1"/>
      <c r="B2" s="2" t="s">
        <v>57</v>
      </c>
      <c r="C2" s="1"/>
      <c r="D2" s="1"/>
      <c r="E2" s="1"/>
      <c r="F2" s="1"/>
    </row>
    <row r="3" customFormat="false" ht="19.5" hidden="false" customHeight="true" outlineLevel="0" collapsed="false">
      <c r="A3" s="1"/>
      <c r="B3" s="3" t="s">
        <v>167</v>
      </c>
      <c r="C3" s="1"/>
      <c r="D3" s="1"/>
      <c r="E3" s="1"/>
      <c r="F3" s="1"/>
    </row>
    <row r="4" customFormat="false" ht="7.5" hidden="false" customHeight="true" outlineLevel="0" collapsed="false">
      <c r="A4" s="1"/>
      <c r="B4" s="1"/>
      <c r="C4" s="1"/>
      <c r="D4" s="1"/>
      <c r="E4" s="1"/>
      <c r="F4" s="1"/>
    </row>
    <row r="5" customFormat="false" ht="3" hidden="false" customHeight="true" outlineLevel="0" collapsed="false">
      <c r="A5" s="4"/>
      <c r="B5" s="4"/>
      <c r="C5" s="4"/>
      <c r="D5" s="4"/>
      <c r="E5" s="4"/>
      <c r="F5" s="4"/>
    </row>
    <row r="7" customFormat="false" ht="19.5" hidden="false" customHeight="true" outlineLevel="0" collapsed="false">
      <c r="B7" s="25" t="s">
        <v>168</v>
      </c>
      <c r="C7" s="26" t="s">
        <v>169</v>
      </c>
      <c r="D7" s="26" t="s">
        <v>170</v>
      </c>
      <c r="E7" s="26" t="s">
        <v>120</v>
      </c>
    </row>
    <row r="8" customFormat="false" ht="15" hidden="false" customHeight="false" outlineLevel="0" collapsed="false">
      <c r="B8" s="60" t="s">
        <v>171</v>
      </c>
      <c r="C8" s="61" t="n">
        <f aca="false">'Worked Examples'!C14</f>
        <v>2.5</v>
      </c>
      <c r="D8" s="62" t="n">
        <v>2.5</v>
      </c>
      <c r="E8" s="63" t="str">
        <f aca="false">IF(ISNUMBER(C8),IF(ROUND(C8,2)=ROUND(D8,2),"PASS","FAIL"),"FAIL")</f>
        <v>PASS</v>
      </c>
    </row>
    <row r="9" customFormat="false" ht="15" hidden="false" customHeight="false" outlineLevel="0" collapsed="false">
      <c r="B9" s="60" t="s">
        <v>172</v>
      </c>
      <c r="C9" s="61" t="n">
        <f aca="false">'Worked Examples'!C15</f>
        <v>2.5</v>
      </c>
      <c r="D9" s="62" t="n">
        <v>2.5</v>
      </c>
      <c r="E9" s="63" t="str">
        <f aca="false">IF(ISNUMBER(C9),IF(ROUND(C9,2)=ROUND(D9,2),"PASS","FAIL"),"FAIL")</f>
        <v>PASS</v>
      </c>
    </row>
    <row r="10" customFormat="false" ht="15" hidden="false" customHeight="false" outlineLevel="0" collapsed="false">
      <c r="B10" s="60" t="s">
        <v>173</v>
      </c>
      <c r="C10" s="61" t="n">
        <f aca="false">'Worked Examples'!C16</f>
        <v>2.5</v>
      </c>
      <c r="D10" s="62" t="n">
        <v>2.5</v>
      </c>
      <c r="E10" s="63" t="str">
        <f aca="false">IF(ISNUMBER(C10),IF(ROUND(C10,2)=ROUND(D10,2),"PASS","FAIL"),"FAIL")</f>
        <v>PASS</v>
      </c>
    </row>
    <row r="11" customFormat="false" ht="15" hidden="false" customHeight="false" outlineLevel="0" collapsed="false">
      <c r="B11" s="60" t="s">
        <v>174</v>
      </c>
      <c r="C11" s="61" t="n">
        <f aca="false">'Worked Examples'!C26</f>
        <v>3</v>
      </c>
      <c r="D11" s="62" t="n">
        <v>3</v>
      </c>
      <c r="E11" s="63" t="str">
        <f aca="false">IF(ISNUMBER(C11),IF(ROUND(C11,2)=ROUND(D11,2),"PASS","FAIL"),"FAIL")</f>
        <v>PASS</v>
      </c>
    </row>
    <row r="12" customFormat="false" ht="15" hidden="false" customHeight="false" outlineLevel="0" collapsed="false">
      <c r="B12" s="60" t="s">
        <v>175</v>
      </c>
      <c r="C12" s="64" t="n">
        <f aca="false">'Worked Examples'!E33</f>
        <v>7272.72727272727</v>
      </c>
      <c r="D12" s="65" t="n">
        <v>7272.73</v>
      </c>
      <c r="E12" s="63" t="str">
        <f aca="false">IF(ISNUMBER(C12),IF(ROUND(C12,2)=ROUND(D12,2),"PASS","FAIL"),"FAIL")</f>
        <v>PASS</v>
      </c>
    </row>
    <row r="13" customFormat="false" ht="15" hidden="false" customHeight="false" outlineLevel="0" collapsed="false">
      <c r="B13" s="60" t="s">
        <v>176</v>
      </c>
      <c r="C13" s="64" t="n">
        <f aca="false">'Worked Examples'!E34</f>
        <v>13884.2975206612</v>
      </c>
      <c r="D13" s="65" t="n">
        <v>13884.3</v>
      </c>
      <c r="E13" s="63" t="str">
        <f aca="false">IF(ISNUMBER(C13),IF(ROUND(C13,2)=ROUND(D13,2),"PASS","FAIL"),"FAIL")</f>
        <v>PASS</v>
      </c>
    </row>
    <row r="14" customFormat="false" ht="15" hidden="false" customHeight="false" outlineLevel="0" collapsed="false">
      <c r="B14" s="60" t="s">
        <v>177</v>
      </c>
      <c r="C14" s="64" t="n">
        <f aca="false">'Worked Examples'!E35</f>
        <v>19894.8159278738</v>
      </c>
      <c r="D14" s="65" t="n">
        <v>19894.82</v>
      </c>
      <c r="E14" s="63" t="str">
        <f aca="false">IF(ISNUMBER(C14),IF(ROUND(C14,2)=ROUND(D14,2),"PASS","FAIL"),"FAIL")</f>
        <v>PASS</v>
      </c>
    </row>
    <row r="15" customFormat="false" ht="15" hidden="false" customHeight="false" outlineLevel="0" collapsed="false">
      <c r="B15" s="60" t="s">
        <v>178</v>
      </c>
      <c r="C15" s="64" t="n">
        <f aca="false">'Worked Examples'!C37</f>
        <v>105.184072126223</v>
      </c>
      <c r="D15" s="65" t="n">
        <v>105.18</v>
      </c>
      <c r="E15" s="63" t="str">
        <f aca="false">IF(ISNUMBER(C15),IF(ROUND(C15,2)=ROUND(D15,2),"PASS","FAIL"),"FAIL")</f>
        <v>PASS</v>
      </c>
    </row>
    <row r="16" customFormat="false" ht="27.75" hidden="false" customHeight="true" outlineLevel="0" collapsed="false">
      <c r="B16" s="60" t="s">
        <v>179</v>
      </c>
      <c r="C16" s="66"/>
      <c r="D16" s="66"/>
      <c r="E16" s="63" t="str">
        <f aca="false">IF('Worked Examples'!C36="Not recovered","PASS","FAIL")</f>
        <v>PASS</v>
      </c>
    </row>
    <row r="17" customFormat="false" ht="27.75" hidden="false" customHeight="true" outlineLevel="0" collapsed="false">
      <c r="B17" s="60" t="s">
        <v>180</v>
      </c>
      <c r="C17" s="66"/>
      <c r="D17" s="66"/>
      <c r="E17" s="63" t="str">
        <f aca="false">IF(AND(ISNUMBER(Payback_Years),ISNUMBER(Discounted_Payback),N(Discount_Rate)&gt;0),IF(Discounted_Payback&gt;=Payback_Years-0.000001,"PASS","FAIL"),"N/A")</f>
        <v>N/A</v>
      </c>
    </row>
    <row r="18" customFormat="false" ht="27.75" hidden="false" customHeight="true" outlineLevel="0" collapsed="false">
      <c r="B18" s="60" t="s">
        <v>181</v>
      </c>
      <c r="C18" s="66"/>
      <c r="D18" s="66"/>
      <c r="E18" s="63" t="str">
        <f aca="false">IF(AND(ISNUMBER(NPV_At_Rate),COUNTIF(Cash_Flows,"&lt;0")=0),IF(ISNUMBER(Discounted_Payback)=(ROUND(NPV_At_Rate,6)&gt;=0),"PASS","FAIL"),"N/A")</f>
        <v>PASS</v>
      </c>
    </row>
    <row r="19" customFormat="false" ht="27.75" hidden="false" customHeight="true" outlineLevel="0" collapsed="false">
      <c r="B19" s="60" t="s">
        <v>182</v>
      </c>
      <c r="C19" s="66"/>
      <c r="D19" s="66"/>
      <c r="E19" s="63" t="str">
        <f aca="false">IF(ISNUMBER(Payback_Years),IF(ABS(INDEX('Payback Calculator'!D15:D44,ROUNDUP(Payback_Years,0))-INDEX(Cash_Flows,ROUNDUP(Payback_Years,0))*(ROUNDUP(Payback_Years,0)-Payback_Years)-N(Initial_Investment))&lt;0.000001*MAX(1,N(Initial_Investment)),"PASS","FAIL"),"N/A")</f>
        <v>PASS</v>
      </c>
    </row>
    <row r="20" customFormat="false" ht="27.75" hidden="false" customHeight="true" outlineLevel="0" collapsed="false">
      <c r="B20" s="60" t="s">
        <v>183</v>
      </c>
      <c r="C20" s="66"/>
      <c r="D20" s="66"/>
      <c r="E20" s="63" t="str">
        <f aca="false">IF(ISNUMBER(Total_Returned),IF(ABS('Recovery Chart'!C38-(Total_Returned-N(Initial_Investment)))&lt;0.000001,"PASS","FAIL"),"N/A")</f>
        <v>PASS</v>
      </c>
    </row>
    <row r="22" customFormat="false" ht="15" hidden="false" customHeight="false" outlineLevel="0" collapsed="false">
      <c r="B22" s="67" t="s">
        <v>184</v>
      </c>
      <c r="E22" s="68" t="str">
        <f aca="false">IF(AND(COUNTIF(E8:E20,"FAIL")=0,SUMPRODUCT(--ISERROR(C8:E20))=0),"ALL PASS","REVIEW")</f>
        <v>ALL PASS</v>
      </c>
    </row>
    <row r="24" customFormat="false" ht="43.5" hidden="false" customHeight="true" outlineLevel="0" collapsed="false">
      <c r="B24" s="20" t="s">
        <v>185</v>
      </c>
      <c r="C24" s="20"/>
      <c r="D24" s="20"/>
      <c r="E24" s="20"/>
    </row>
  </sheetData>
  <mergeCells count="1">
    <mergeCell ref="B24:E24"/>
  </mergeCells>
  <conditionalFormatting sqref="E8">
    <cfRule type="expression" priority="2" aboveAverage="0" equalAverage="0" bottom="0" percent="0" rank="0" text="" dxfId="7">
      <formula>E8="FAIL"</formula>
    </cfRule>
  </conditionalFormatting>
  <conditionalFormatting sqref="E9">
    <cfRule type="expression" priority="3" aboveAverage="0" equalAverage="0" bottom="0" percent="0" rank="0" text="" dxfId="7">
      <formula>E9="FAIL"</formula>
    </cfRule>
  </conditionalFormatting>
  <conditionalFormatting sqref="E10">
    <cfRule type="expression" priority="4" aboveAverage="0" equalAverage="0" bottom="0" percent="0" rank="0" text="" dxfId="7">
      <formula>E10="FAIL"</formula>
    </cfRule>
  </conditionalFormatting>
  <conditionalFormatting sqref="E11">
    <cfRule type="expression" priority="5" aboveAverage="0" equalAverage="0" bottom="0" percent="0" rank="0" text="" dxfId="7">
      <formula>E11="FAIL"</formula>
    </cfRule>
  </conditionalFormatting>
  <conditionalFormatting sqref="E12">
    <cfRule type="expression" priority="6" aboveAverage="0" equalAverage="0" bottom="0" percent="0" rank="0" text="" dxfId="7">
      <formula>E12="FAIL"</formula>
    </cfRule>
  </conditionalFormatting>
  <conditionalFormatting sqref="E13">
    <cfRule type="expression" priority="7" aboveAverage="0" equalAverage="0" bottom="0" percent="0" rank="0" text="" dxfId="7">
      <formula>E13="FAIL"</formula>
    </cfRule>
  </conditionalFormatting>
  <conditionalFormatting sqref="E14">
    <cfRule type="expression" priority="8" aboveAverage="0" equalAverage="0" bottom="0" percent="0" rank="0" text="" dxfId="7">
      <formula>E14="FAIL"</formula>
    </cfRule>
  </conditionalFormatting>
  <conditionalFormatting sqref="E15">
    <cfRule type="expression" priority="9" aboveAverage="0" equalAverage="0" bottom="0" percent="0" rank="0" text="" dxfId="7">
      <formula>E15="FAIL"</formula>
    </cfRule>
  </conditionalFormatting>
  <conditionalFormatting sqref="E16">
    <cfRule type="expression" priority="10" aboveAverage="0" equalAverage="0" bottom="0" percent="0" rank="0" text="" dxfId="7">
      <formula>E16="FAIL"</formula>
    </cfRule>
  </conditionalFormatting>
  <conditionalFormatting sqref="E17">
    <cfRule type="expression" priority="11" aboveAverage="0" equalAverage="0" bottom="0" percent="0" rank="0" text="" dxfId="7">
      <formula>E17="FAIL"</formula>
    </cfRule>
  </conditionalFormatting>
  <conditionalFormatting sqref="E18">
    <cfRule type="expression" priority="12" aboveAverage="0" equalAverage="0" bottom="0" percent="0" rank="0" text="" dxfId="7">
      <formula>E18="FAIL"</formula>
    </cfRule>
  </conditionalFormatting>
  <conditionalFormatting sqref="E19">
    <cfRule type="expression" priority="13" aboveAverage="0" equalAverage="0" bottom="0" percent="0" rank="0" text="" dxfId="7">
      <formula>E19="FAIL"</formula>
    </cfRule>
  </conditionalFormatting>
  <conditionalFormatting sqref="E20">
    <cfRule type="expression" priority="14" aboveAverage="0" equalAverage="0" bottom="0" percent="0" rank="0" text="" dxfId="7">
      <formula>E20="FAIL"</formula>
    </cfRule>
  </conditionalFormatting>
  <conditionalFormatting sqref="E22">
    <cfRule type="expression" priority="15" aboveAverage="0" equalAverage="0" bottom="0" percent="0" rank="0" text="" dxfId="8">
      <formula>E22="REVIEW"</formula>
    </cfRule>
  </conditionalFormatting>
  <printOptions headings="false" gridLines="false" gridLinesSet="true" horizontalCentered="true" verticalCentered="false"/>
  <pageMargins left="0.5" right="0.5" top="1" bottom="1"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2026-09-28T12:10:20Z</dcterms:created>
  <dc:creator>BabaDigit</dc:creator>
  <dc:description/>
  <cp:keywords>payback period calculator discounted payback cumulative cash flow Excel</cp:keywords>
  <dc:language>en-US</dc:language>
  <cp:lastModifiedBy/>
  <dcterms:modified xsi:type="dcterms:W3CDTF">2026-09-28T16:11:10Z</dcterms:modified>
  <cp:revision>1</cp:revision>
  <dc:subject>Payback period and discounted payback calculator</dc:subject>
  <dc:title>BabaDigit Payback Period Calculator</dc:title>
</cp:coreProperties>
</file>

<file path=docProps/custom.xml><?xml version="1.0" encoding="utf-8"?>
<Properties xmlns="http://schemas.openxmlformats.org/officeDocument/2006/custom-properties" xmlns:vt="http://schemas.openxmlformats.org/officeDocument/2006/docPropsVTypes"/>
</file>