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Profit Margin Calculator" sheetId="2" state="visible" r:id="rId4"/>
    <sheet name="Monthly Trend" sheetId="3" state="visible" r:id="rId5"/>
    <sheet name="Worked Examples" sheetId="4" state="visible" r:id="rId6"/>
    <sheet name="Formula Guide" sheetId="5" state="visible" r:id="rId7"/>
    <sheet name="Checks" sheetId="6" state="visible" r:id="rId8"/>
  </sheets>
  <definedNames>
    <definedName function="false" hidden="false" name="Checks_Status" vbProcedure="false">Checks!$E$24</definedName>
    <definedName function="false" hidden="false" name="COGS" vbProcedure="false">'Profit Margin Calculator'!$D$9</definedName>
    <definedName function="false" hidden="false" name="Gross_Margin" vbProcedure="false">'Profit Margin Calculator'!$I$14</definedName>
    <definedName function="false" hidden="false" name="Interest_Tax" vbProcedure="false">'Profit Margin Calculator'!$D$11</definedName>
    <definedName function="false" hidden="false" name="Net_Margin" vbProcedure="false">'Profit Margin Calculator'!$H$11</definedName>
    <definedName function="false" hidden="false" name="Net_Profit" vbProcedure="false">'Profit Margin Calculator'!$I$17</definedName>
    <definedName function="false" hidden="false" name="Operating_Margin" vbProcedure="false">'Profit Margin Calculator'!$I$15</definedName>
    <definedName function="false" hidden="false" name="Operating_Profit" vbProcedure="false">'Profit Margin Calculator'!$I$16</definedName>
    <definedName function="false" hidden="false" name="Opex" vbProcedure="false">'Profit Margin Calculator'!$D$10</definedName>
    <definedName function="false" hidden="false" name="Revenue" vbProcedure="false">'Profit Margin Calculator'!$D$8</definedName>
    <definedName function="false" hidden="false" name="Trend_Net" vbProcedure="false">'Monthly Trend'!$I$20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Example from the online calculator — replace with your own.</t>
        </r>
      </text>
    </comment>
  </commentList>
</comments>
</file>

<file path=xl/sharedStrings.xml><?xml version="1.0" encoding="utf-8"?>
<sst xmlns="http://schemas.openxmlformats.org/spreadsheetml/2006/main" count="239" uniqueCount="196">
  <si>
    <t xml:space="preserve">Profit Margin Calculator — Excel Workbook</t>
  </si>
  <si>
    <t xml:space="preserve">BabaDigit free resource · babadigit.com/profit-margin-calculator</t>
  </si>
  <si>
    <t xml:space="preserve">What this workbook does</t>
  </si>
  <si>
    <t xml:space="preserve">A profit and loss account produces three margins, and they answer three different questions. This workbook calculates gross, operating and net profit margin together — using the same method as the free Profit Margin Calculator on babadigit.com — shows where each sales dollar goes, and tracks all three month by month so you can see which gap is widening.</t>
  </si>
  <si>
    <t xml:space="preserve">How to use it</t>
  </si>
  <si>
    <t xml:space="preserve">1. Open 'Profit Margin Calculator'</t>
  </si>
  <si>
    <t xml:space="preserve">Enter revenue, cost of goods sold, operating expenses and interest and tax in the yellow cells.</t>
  </si>
  <si>
    <t xml:space="preserve">2. Read the result</t>
  </si>
  <si>
    <t xml:space="preserve">The navy panel shows net margin with gross margin, operating margin, operating profit and net profit.</t>
  </si>
  <si>
    <t xml:space="preserve">3. Follow the ladder</t>
  </si>
  <si>
    <t xml:space="preserve">'The profit ladder' shows how many cents of each sales dollar every layer of cost takes.</t>
  </si>
  <si>
    <t xml:space="preserve">4. Track the trend</t>
  </si>
  <si>
    <t xml:space="preserve">'Monthly Trend' charts all three margins over twelve months.</t>
  </si>
  <si>
    <t xml:space="preserve">Inputs explained</t>
  </si>
  <si>
    <t xml:space="preserve">Revenue</t>
  </si>
  <si>
    <t xml:space="preserve">Sales net of discounts and returns. Must be above zero.</t>
  </si>
  <si>
    <t xml:space="preserve">Cost of goods sold</t>
  </si>
  <si>
    <t xml:space="preserve">Direct costs that move with sales volume. Blank counts as zero.</t>
  </si>
  <si>
    <t xml:space="preserve">Operating expenses</t>
  </si>
  <si>
    <t xml:space="preserve">Overheads: rent, salaries, marketing, admin. Blank counts as zero.</t>
  </si>
  <si>
    <t xml:space="preserve">Interest and tax</t>
  </si>
  <si>
    <t xml:space="preserve">Interest on borrowing plus tax on profit. Blank counts as zero.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</si>
  <si>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</si>
  <si>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</si>
  <si>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</si>
  <si>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</si>
  <si>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</si>
  <si>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</si>
  <si>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</si>
  <si>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</si>
  <si>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</si>
  <si>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read the three margins</t>
  </si>
  <si>
    <t xml:space="preserve">Gross margin</t>
  </si>
  <si>
    <t xml:space="preserve">Left after direct costs. Weak? Look at pricing and purchasing.</t>
  </si>
  <si>
    <t xml:space="preserve">Operating margin</t>
  </si>
  <si>
    <t xml:space="preserve">Left after overheads too — whether the business model works. Weak? Look at fixed costs and volume.</t>
  </si>
  <si>
    <t xml:space="preserve">Net margin</t>
  </si>
  <si>
    <t xml:space="preserve">What the owners keep after interest and tax. Weak with a healthy operating margin? Look at debt and tax.</t>
  </si>
  <si>
    <t xml:space="preserve">The gaps</t>
  </si>
  <si>
    <t xml:space="preserve">The drop from one margin to the next points at the problem. A widening gap is the warning sign.</t>
  </si>
  <si>
    <t xml:space="preserve">Limitations and assumptions</t>
  </si>
  <si>
    <t xml:space="preserve">•  'Margin' on its own is ambiguous — always say which one.</t>
  </si>
  <si>
    <t xml:space="preserve">•  Net margin can swing for reasons unrelated to trading: a tax settlement, an asset sale, a one-off write-off.</t>
  </si>
  <si>
    <t xml:space="preserve">•  Low margin is not automatically bad: high-volume businesses live on thin margins.</t>
  </si>
  <si>
    <t xml:space="preserve">•  Include a market-rate salary for the owner, or small-business margins will look better than they are.</t>
  </si>
  <si>
    <t xml:space="preserve">•  Results are for general information only, not financial advice.</t>
  </si>
  <si>
    <t xml:space="preserve">Workbook contents</t>
  </si>
  <si>
    <t xml:space="preserve">Profit Margin Calculator</t>
  </si>
  <si>
    <t xml:space="preserve">Your calculation: inputs, the three margins, the profit ladder and where the margin goes.</t>
  </si>
  <si>
    <t xml:space="preserve">Monthly Trend</t>
  </si>
  <si>
    <t xml:space="preserve">Twelve months of figures with all three margins and a chart.</t>
  </si>
  <si>
    <t xml:space="preserve">Worked Examples</t>
  </si>
  <si>
    <t xml:space="preserve">The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</si>
  <si>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</si>
  <si>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</si>
  <si>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</si>
  <si>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 that confirm the workbook is calculating correctly.</t>
  </si>
  <si>
    <t xml:space="preserve">No macros, no add-ins, no internet connection required. Sheets are not locked, so you can adapt the workbook. © BabaDigit — free to use for your own analysis. Free online version: babadigit.com/profit-margin-calculator. Results are for general information only and are not financial advice.</t>
  </si>
  <si>
    <t xml:space="preserve">Enter your figures in the yellow cells. Results update automatically.</t>
  </si>
  <si>
    <t xml:space="preserve">1  Your figures</t>
  </si>
  <si>
    <t xml:space="preserve">Sales net of discounts and returns.</t>
  </si>
  <si>
    <t xml:space="preserve">RESULTS</t>
  </si>
  <si>
    <t xml:space="preserve">Direct costs that move with sales.</t>
  </si>
  <si>
    <t xml:space="preserve">Rent, salaries, marketing, admin.</t>
  </si>
  <si>
    <t xml:space="preserve">Net profit margin</t>
  </si>
  <si>
    <t xml:space="preserve">Interest on borrowing plus tax.</t>
  </si>
  <si>
    <t xml:space="preserve">2  The profit ladder</t>
  </si>
  <si>
    <t xml:space="preserve">Amount</t>
  </si>
  <si>
    <t xml:space="preserve">Cents per sales dollar</t>
  </si>
  <si>
    <t xml:space="preserve">Margin</t>
  </si>
  <si>
    <t xml:space="preserve">− Cost of goods sold</t>
  </si>
  <si>
    <t xml:space="preserve">Operating profit</t>
  </si>
  <si>
    <t xml:space="preserve">Gross profit</t>
  </si>
  <si>
    <t xml:space="preserve">Net profit</t>
  </si>
  <si>
    <t xml:space="preserve">− Operating expenses</t>
  </si>
  <si>
    <t xml:space="preserve">− Interest and tax</t>
  </si>
  <si>
    <t xml:space="preserve">Reading this result</t>
  </si>
  <si>
    <t xml:space="preserve">3  Where the margin goes</t>
  </si>
  <si>
    <t xml:space="preserve">Step</t>
  </si>
  <si>
    <t xml:space="preserve">Margin points taken</t>
  </si>
  <si>
    <t xml:space="preserve">Share of gross profit</t>
  </si>
  <si>
    <t xml:space="preserve">Overheads (gross → operating)</t>
  </si>
  <si>
    <t xml:space="preserve">Interest and tax (operating → net)</t>
  </si>
  <si>
    <t xml:space="preserve">Follow the drop from gross to operating to net. A strong gross margin collapsing into a weak operating margin means overheads are the issue; a weak gross margin means pricing or purchasing; a healthy operating margin falling to a poor net margin means debt or tax.</t>
  </si>
  <si>
    <t xml:space="preserve">Input checks</t>
  </si>
  <si>
    <t xml:space="preserve">Every margin divides by revenue. See 'Formula Guide'.</t>
  </si>
  <si>
    <t xml:space="preserve">Track all three margins month by month. The trend in the gaps tells you more than any single month.</t>
  </si>
  <si>
    <t xml:space="preserve">Month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</si>
  <si>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</si>
  <si>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</si>
  <si>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</si>
  <si>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</si>
  <si>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</si>
  <si>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</si>
  <si>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</si>
  <si>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</si>
  <si>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</si>
  <si>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</si>
  <si>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</si>
  <si>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</si>
  <si>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</t>
  </si>
  <si>
    <t xml:space="preserve">Summary</t>
  </si>
  <si>
    <t xml:space="preserve">Best month for net margin</t>
  </si>
  <si>
    <t xml:space="preserve">Weakest month for net margin</t>
  </si>
  <si>
    <t xml:space="preserve">Change in gross margin, first to last month</t>
  </si>
  <si>
    <t xml:space="preserve">Change in net margin, first to last month</t>
  </si>
  <si>
    <t xml:space="preserve">Replace the fictional example months with your own. Rename the months in column B if your year starts elsewhere. Leave unused months blank — they are skipped.</t>
  </si>
  <si>
    <t xml:space="preserve">Fictional scenarios — the same examples as babadigit.com/profit-margin-calculator.</t>
  </si>
  <si>
    <t xml:space="preserve">Example 1 — One business, three margins</t>
  </si>
  <si>
    <t xml:space="preserve">Revenue of 500,000, cost of goods sold 300,000, overheads 120,000, interest and tax 30,000.</t>
  </si>
  <si>
    <t xml:space="preserve">200,000 ÷ 500,000 = 40.00%</t>
  </si>
  <si>
    <t xml:space="preserve">80,000 ÷ 500,000 = 16.00%</t>
  </si>
  <si>
    <t xml:space="preserve">50,000 ÷ 500,000 = 10.00%</t>
  </si>
  <si>
    <t xml:space="preserve">Overheads take 24 points of margin — more than half of the gross margin</t>
  </si>
  <si>
    <t xml:space="preserve">Example 2 — Two businesses at 10% operating margin</t>
  </si>
  <si>
    <t xml:space="preserve">Both turn over 500,000 and both reach a 10% operating margin. They need entirely different interventions.</t>
  </si>
  <si>
    <t xml:space="preserve">Business A</t>
  </si>
  <si>
    <t xml:space="preserve">Business B</t>
  </si>
  <si>
    <t xml:space="preserve">Overheads</t>
  </si>
  <si>
    <t xml:space="preserve">Both 10.00% — A has an overhead problem, B is selling too cheaply</t>
  </si>
  <si>
    <t xml:space="preserve">Example 3 — What debt does to net margin</t>
  </si>
  <si>
    <t xml:space="preserve">Two companies each earn 80,000 operating profit on 500,000 of revenue. Tax is 30% of what is left after interest.</t>
  </si>
  <si>
    <t xml:space="preserve">Company X</t>
  </si>
  <si>
    <t xml:space="preserve">Company Y</t>
  </si>
  <si>
    <t xml:space="preserve">Interest</t>
  </si>
  <si>
    <t xml:space="preserve">Tax rate</t>
  </si>
  <si>
    <t xml:space="preserve">Taxable profit</t>
  </si>
  <si>
    <t xml:space="preserve">Tax</t>
  </si>
  <si>
    <t xml:space="preserve">Identical operations, less than half the net margin</t>
  </si>
  <si>
    <t xml:space="preserve">Change any yellow cell to see how each result responds. Examples are fictional and for illustration only.</t>
  </si>
  <si>
    <t xml:space="preserve">The method behind every result — identical to the online BabaDigit Profit Margin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</si>
  <si>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</si>
  <si>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</si>
  <si>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</si>
  <si>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</si>
  <si>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(Revenue − COGS) ÷ Revenue</t>
  </si>
  <si>
    <t xml:space="preserve">=(Revenue-N(COGS))/Revenue</t>
  </si>
  <si>
    <t xml:space="preserve">(Revenue − COGS − Operating expenses) ÷ Revenue</t>
  </si>
  <si>
    <t xml:space="preserve">=(Revenue-N(COGS)-N(Opex))/Revenue</t>
  </si>
  <si>
    <t xml:space="preserve">(Revenue − COGS − Operating expenses − Interest and tax) ÷ Revenue</t>
  </si>
  <si>
    <t xml:space="preserve">=(Revenue-N(COGS)-N(Opex)-N(Interest_Tax))/Revenue</t>
  </si>
  <si>
    <t xml:space="preserve">Revenue − all costs, interest and tax</t>
  </si>
  <si>
    <t xml:space="preserve">=Revenue-N(COGS)-N(Opex)-N(Interest_Tax)</t>
  </si>
  <si>
    <t xml:space="preserve">Why these rules</t>
  </si>
  <si>
    <t xml:space="preserve">•  Results appear only when revenue is a number above zero — exactly like the online calculator.</t>
  </si>
  <si>
    <t xml:space="preserve">•  Blank cost lines count as zero, as the online calculator does.</t>
  </si>
  <si>
    <t xml:space="preserve">•  Revenue is the denominator in all three margins, which is what makes them directly comparable.</t>
  </si>
  <si>
    <t xml:space="preserve">•  N(...) turns a blank cell into zero so a missing line never causes an error.</t>
  </si>
  <si>
    <t xml:space="preserve">Do it in any spreadsheet</t>
  </si>
  <si>
    <t xml:space="preserve">Set-up</t>
  </si>
  <si>
    <t xml:space="preserve">Revenue in B1, COGS in B2, overheads in B3, interest and tax in B4.</t>
  </si>
  <si>
    <t xml:space="preserve">Gross</t>
  </si>
  <si>
    <t xml:space="preserve">=(B1-B2)/B1</t>
  </si>
  <si>
    <t xml:space="preserve">Operating</t>
  </si>
  <si>
    <t xml:space="preserve">=(B1-B2-B3)/B1</t>
  </si>
  <si>
    <t xml:space="preserve">Net</t>
  </si>
  <si>
    <t xml:space="preserve">=(B1-B2-B3-B4)/B1</t>
  </si>
  <si>
    <t xml:space="preserve">Named ranges used</t>
  </si>
  <si>
    <t xml:space="preserve">'Profit Margin Calculator'!D8</t>
  </si>
  <si>
    <t xml:space="preserve">COGS</t>
  </si>
  <si>
    <t xml:space="preserve">'Profit Margin Calculator'!D9</t>
  </si>
  <si>
    <t xml:space="preserve">Opex</t>
  </si>
  <si>
    <t xml:space="preserve">'Profit Margin Calculator'!D10</t>
  </si>
  <si>
    <t xml:space="preserve">Interest_Tax</t>
  </si>
  <si>
    <t xml:space="preserve">'Profit Margin Calculator'!D11</t>
  </si>
  <si>
    <t xml:space="preserve">Net_Margin</t>
  </si>
  <si>
    <t xml:space="preserve">'Profit Margin Calculator'!H11</t>
  </si>
  <si>
    <t xml:space="preserve">Gross_Margin</t>
  </si>
  <si>
    <t xml:space="preserve">'Profit Margin Calculator'!I14</t>
  </si>
  <si>
    <t xml:space="preserve">Operating_Margin</t>
  </si>
  <si>
    <t xml:space="preserve">'Profit Margin Calculator'!I15</t>
  </si>
  <si>
    <t xml:space="preserve">Operating_Profit</t>
  </si>
  <si>
    <t xml:space="preserve">'Profit Margin Calculator'!I16</t>
  </si>
  <si>
    <t xml:space="preserve">Net_Profit</t>
  </si>
  <si>
    <t xml:space="preserve">'Profit Margin Calculator'!I17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</si>
  <si>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</si>
  <si>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</si>
  <si>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</si>
  <si>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</si>
  <si>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gross margin matches the published 40.00%</t>
  </si>
  <si>
    <t xml:space="preserve">Example 1 operating margin matches the published 16.00%</t>
  </si>
  <si>
    <t xml:space="preserve">Example 1 net margin matches the published 10.00%</t>
  </si>
  <si>
    <t xml:space="preserve">Example 1 net profit matches the published 50,000</t>
  </si>
  <si>
    <t xml:space="preserve">Example 2 Business A operating margin is 10%</t>
  </si>
  <si>
    <t xml:space="preserve">Example 2 Business B operating margin is 10%</t>
  </si>
  <si>
    <t xml:space="preserve">Example 3 Company X net profit matches the published 52,500</t>
  </si>
  <si>
    <t xml:space="preserve">Example 3 Company X net margin matches the published 10.50%</t>
  </si>
  <si>
    <t xml:space="preserve">Example 3 Company Y net profit matches the published 24,500</t>
  </si>
  <si>
    <t xml:space="preserve">Example 3 Company Y net margin matches the published 4.90%</t>
  </si>
  <si>
    <t xml:space="preserve">Calculator: net margin × revenue = net profit</t>
  </si>
  <si>
    <t xml:space="preserve">Calculator: gross − operating margin = overheads ÷ revenue</t>
  </si>
  <si>
    <t xml:space="preserve">Calculator: the profit ladder ends on the headline net profit</t>
  </si>
  <si>
    <t xml:space="preserve">Calculator: ladder cents add back to 100</t>
  </si>
  <si>
    <t xml:space="preserve">Monthly Trend: year net margin = total net profit ÷ total revenue</t>
  </si>
  <si>
    <t xml:space="preserve">Overall status</t>
  </si>
  <si>
    <t xml:space="preserve">'N/A' means a check does not apply to the figures currently entered. Published values are the worked-example results on babadigit.com/profit-margin-calculator.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</si>
</sst>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;[RED]\-#,##0.00;\-"/>
    <numFmt numFmtId="166" formatCode="0.00%;[RED]\-0.00%;0.00%"/>
    <numFmt numFmtId="167" formatCode="0.00"/>
    <numFmt numFmtId="168" formatCode="0.00&quot; pts&quot;"/>
    <numFmt numFmtId="169" formatCode="#,##0;[RED]\-#,##0;\-"/>
    <numFmt numFmtId="170" formatCode="@"/>
    <numFmt numFmtId="171" formatCode="\+0.00%;\-0.00%;0.00%"/>
    <numFmt numFmtId="172" formatCode="0%"/>
    <numFmt numFmtId="173" formatCode="0.00%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334155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F172A"/>
      <name val="Arial"/>
      <family val="0"/>
      <charset val="1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 style="thin">
        <color rgb="FF0F172A"/>
      </top>
      <bottom style="thin">
        <color rgb="FFE2E8F0"/>
      </bottom>
      <diagonal/>
    </border>
    <border diagonalUp="false" diagonalDown="false">
      <left/>
      <right/>
      <top style="medium">
        <color rgb="FF0F172A"/>
      </top>
      <bottom style="thin">
        <color rgb="FFE2E8F0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21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1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color rgb="FFFCA5A5"/>
        <sz val="10"/>
      </font>
    </dxf>
    <dxf>
      <font>
        <name val="Arial"/>
        <charset val="1"/>
        <family val="0"/>
        <b val="1"/>
        <color rgb="FFFCA5A5"/>
        <sz val="10"/>
      </font>
    </dxf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9"/>
      </font>
    </dxf>
    <dxf>
      <font>
        <name val="Arial"/>
        <charset val="1"/>
        <family val="0"/>
        <color rgb="FF0F766E"/>
        <sz val="9"/>
      </font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D9D9D9"/>
      <rgbColor rgb="FF878787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Gross, operating and net margin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Trend'!G7</c:f>
              <c:strCache>
                <c:ptCount val="1"/>
                <c:pt idx="0">
                  <c:v>Gross margin</c:v>
                </c:pt>
              </c:strCache>
            </c:strRef>
          </c:tx>
          <c:spPr>
            <a:solidFill>
              <a:srgbClr val="2563eb"/>
            </a:solidFill>
            <a:ln w="28440">
              <a:solidFill>
                <a:srgbClr val="2563e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Trend'!$B$8:$B$19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Trend'!$G$8:$G$19</c:f>
              <c:numCache>
                <c:formatCode>0.00%;[RED]\-0.00%;0.00%</c:formatCode>
                <c:ptCount val="12"/>
                <c:pt idx="0">
                  <c:v>0.410526315789474</c:v>
                </c:pt>
                <c:pt idx="1">
                  <c:v>0.402739726027397</c:v>
                </c:pt>
                <c:pt idx="2">
                  <c:v>0.407317073170732</c:v>
                </c:pt>
                <c:pt idx="3">
                  <c:v>0.400497512437811</c:v>
                </c:pt>
                <c:pt idx="4">
                  <c:v>0.390804597701149</c:v>
                </c:pt>
                <c:pt idx="5">
                  <c:v>0.386666666666667</c:v>
                </c:pt>
                <c:pt idx="6">
                  <c:v>0.385514018691589</c:v>
                </c:pt>
                <c:pt idx="7">
                  <c:v>0.380952380952381</c:v>
                </c:pt>
                <c:pt idx="8">
                  <c:v>0.374439461883408</c:v>
                </c:pt>
                <c:pt idx="9">
                  <c:v>0.371549893842887</c:v>
                </c:pt>
                <c:pt idx="10">
                  <c:v>0.367469879518072</c:v>
                </c:pt>
                <c:pt idx="11">
                  <c:v>0.362403100775194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'Monthly Trend'!H7</c:f>
              <c:strCache>
                <c:ptCount val="1"/>
                <c:pt idx="0">
                  <c:v>Operating margin</c:v>
                </c:pt>
              </c:strCache>
            </c:strRef>
          </c:tx>
          <c:spPr>
            <a:solidFill>
              <a:srgbClr val="14b8a6"/>
            </a:solidFill>
            <a:ln w="28440">
              <a:solidFill>
                <a:srgbClr val="14b8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Trend'!$B$8:$B$19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Trend'!$H$8:$H$19</c:f>
              <c:numCache>
                <c:formatCode>0.00%;[RED]\-0.00%;0.00%</c:formatCode>
                <c:ptCount val="12"/>
                <c:pt idx="0">
                  <c:v>0.147368421052632</c:v>
                </c:pt>
                <c:pt idx="1">
                  <c:v>0.128767123287671</c:v>
                </c:pt>
                <c:pt idx="2">
                  <c:v>0.163414634146341</c:v>
                </c:pt>
                <c:pt idx="3">
                  <c:v>0.151741293532338</c:v>
                </c:pt>
                <c:pt idx="4">
                  <c:v>0.160919540229885</c:v>
                </c:pt>
                <c:pt idx="5">
                  <c:v>0.164444444444444</c:v>
                </c:pt>
                <c:pt idx="6">
                  <c:v>0.142523364485981</c:v>
                </c:pt>
                <c:pt idx="7">
                  <c:v>0.120300751879699</c:v>
                </c:pt>
                <c:pt idx="8">
                  <c:v>0.141255605381166</c:v>
                </c:pt>
                <c:pt idx="9">
                  <c:v>0.150743099787686</c:v>
                </c:pt>
                <c:pt idx="10">
                  <c:v>0.15863453815261</c:v>
                </c:pt>
                <c:pt idx="11">
                  <c:v>0.160852713178295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'Monthly Trend'!I7</c:f>
              <c:strCache>
                <c:ptCount val="1"/>
                <c:pt idx="0">
                  <c:v>Net margin</c:v>
                </c:pt>
              </c:strCache>
            </c:strRef>
          </c:tx>
          <c:spPr>
            <a:solidFill>
              <a:srgbClr val="0f172a"/>
            </a:solidFill>
            <a:ln w="28440">
              <a:solidFill>
                <a:srgbClr val="0f172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Trend'!$B$8:$B$19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Trend'!$I$8:$I$19</c:f>
              <c:numCache>
                <c:formatCode>0.00%;[RED]\-0.00%;0.00%</c:formatCode>
                <c:ptCount val="12"/>
                <c:pt idx="0">
                  <c:v>0.0868421052631579</c:v>
                </c:pt>
                <c:pt idx="1">
                  <c:v>0.0712328767123288</c:v>
                </c:pt>
                <c:pt idx="2">
                  <c:v>0.102439024390244</c:v>
                </c:pt>
                <c:pt idx="3">
                  <c:v>0.0920398009950249</c:v>
                </c:pt>
                <c:pt idx="4">
                  <c:v>0.101149425287356</c:v>
                </c:pt>
                <c:pt idx="5">
                  <c:v>0.104444444444444</c:v>
                </c:pt>
                <c:pt idx="6">
                  <c:v>0.0841121495327103</c:v>
                </c:pt>
                <c:pt idx="7">
                  <c:v>0.06265664160401</c:v>
                </c:pt>
                <c:pt idx="8">
                  <c:v>0.0829596412556054</c:v>
                </c:pt>
                <c:pt idx="9">
                  <c:v>0.0912951167728238</c:v>
                </c:pt>
                <c:pt idx="10">
                  <c:v>0.0983935742971888</c:v>
                </c:pt>
                <c:pt idx="11">
                  <c:v>0.10077519379845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6843538"/>
        <c:axId val="27468907"/>
      </c:lineChart>
      <c:catAx>
        <c:axId val="368435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468907"/>
        <c:crosses val="autoZero"/>
        <c:auto val="1"/>
        <c:lblAlgn val="ctr"/>
        <c:lblOffset val="100"/>
        <c:noMultiLvlLbl val="0"/>
      </c:catAx>
      <c:valAx>
        <c:axId val="2746890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84353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6</xdr:row>
      <xdr:rowOff>0</xdr:rowOff>
    </xdr:from>
    <xdr:to>
      <xdr:col>18</xdr:col>
      <xdr:colOff>347400</xdr:colOff>
      <xdr:row>21</xdr:row>
      <xdr:rowOff>11520</xdr:rowOff>
    </xdr:to>
    <xdr:graphicFrame>
      <xdr:nvGraphicFramePr>
        <xdr:cNvPr id="0" name="Chart 1"/>
        <xdr:cNvGraphicFramePr/>
      </xdr:nvGraphicFramePr>
      <xdr:xfrm>
        <a:off x="7682760" y="1047600"/>
        <a:ext cx="53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30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30" hidden="false" customHeight="true" outlineLevel="0" collapsed="false">
      <c r="B13" s="8" t="s">
        <v>9</v>
      </c>
      <c r="C13" s="9" t="s">
        <v>10</v>
      </c>
    </row>
    <row r="14" customFormat="false" ht="18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18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18" hidden="false" customHeight="true" outlineLevel="0" collapsed="false">
      <c r="B19" s="8" t="s">
        <v>18</v>
      </c>
      <c r="C19" s="9" t="s">
        <v>19</v>
      </c>
    </row>
    <row r="20" customFormat="false" ht="18" hidden="false" customHeight="true" outlineLevel="0" collapsed="false">
      <c r="B20" s="8" t="s">
        <v>20</v>
      </c>
      <c r="C20" s="9" t="s">
        <v>21</v>
      </c>
    </row>
    <row r="22" customFormat="false" ht="19.5" hidden="false" customHeight="true" outlineLevel="0" collapsed="false">
      <c r="B22" s="5" t="s">
        <v>22</v>
      </c>
      <c r="C22" s="6"/>
    </row>
    <row r="23" customFormat="false" ht="19.5" hidden="false" customHeight="true" outlineLevel="0" collapsed="false">
      <c r="B23" s="10" t="s">
        <v>23</v>
      </c>
      <c r="C23" s="9" t="s">
        <v>24</v>
      </c>
    </row>
    <row r="24" customFormat="false" ht="19.5" hidden="false" customHeight="true" outlineLevel="0" collapsed="false">
      <c r="B24" s="11" t="s">
        <v>25</v>
      </c>
      <c r="C24" s="9" t="s">
        <v>26</v>
      </c>
    </row>
    <row r="25" customFormat="false" ht="19.5" hidden="false" customHeight="true" outlineLevel="0" collapsed="false">
      <c r="B25" s="12" t="s">
        <v>27</v>
      </c>
      <c r="C25" s="9" t="s">
        <v>28</v>
      </c>
    </row>
    <row r="26" customFormat="false" ht="19.5" hidden="false" customHeight="true" outlineLevel="0" collapsed="false">
      <c r="B26" s="13" t="s">
        <v>29</v>
      </c>
      <c r="C26" s="9" t="s">
        <v>30</v>
      </c>
    </row>
    <row r="28" customFormat="false" ht="19.5" hidden="false" customHeight="true" outlineLevel="0" collapsed="false">
      <c r="B28" s="5" t="s">
        <v>31</v>
      </c>
      <c r="C28" s="6"/>
    </row>
    <row r="29" customFormat="false" ht="18" hidden="false" customHeight="true" outlineLevel="0" collapsed="false">
      <c r="B29" s="8" t="s">
        <v>32</v>
      </c>
      <c r="C29" s="9" t="s">
        <v>33</v>
      </c>
    </row>
    <row r="30" customFormat="false" ht="30" hidden="false" customHeight="true" outlineLevel="0" collapsed="false">
      <c r="B30" s="8" t="s">
        <v>34</v>
      </c>
      <c r="C30" s="9" t="s">
        <v>35</v>
      </c>
    </row>
    <row r="31" customFormat="false" ht="30" hidden="false" customHeight="true" outlineLevel="0" collapsed="false">
      <c r="B31" s="8" t="s">
        <v>36</v>
      </c>
      <c r="C31" s="9" t="s">
        <v>37</v>
      </c>
    </row>
    <row r="32" customFormat="false" ht="30" hidden="false" customHeight="true" outlineLevel="0" collapsed="false">
      <c r="B32" s="8" t="s">
        <v>38</v>
      </c>
      <c r="C32" s="9" t="s">
        <v>39</v>
      </c>
    </row>
    <row r="34" customFormat="false" ht="19.5" hidden="false" customHeight="true" outlineLevel="0" collapsed="false">
      <c r="B34" s="5" t="s">
        <v>40</v>
      </c>
      <c r="C34" s="6"/>
    </row>
    <row r="35" customFormat="false" ht="18" hidden="false" customHeight="true" outlineLevel="0" collapsed="false">
      <c r="B35" s="7" t="s">
        <v>41</v>
      </c>
      <c r="C35" s="7"/>
    </row>
    <row r="36" customFormat="false" ht="18" hidden="false" customHeight="true" outlineLevel="0" collapsed="false">
      <c r="B36" s="7" t="s">
        <v>42</v>
      </c>
      <c r="C36" s="7"/>
    </row>
    <row r="37" customFormat="false" ht="18" hidden="false" customHeight="true" outlineLevel="0" collapsed="false">
      <c r="B37" s="7" t="s">
        <v>43</v>
      </c>
      <c r="C37" s="7"/>
    </row>
    <row r="38" customFormat="false" ht="18" hidden="false" customHeight="true" outlineLevel="0" collapsed="false">
      <c r="B38" s="7" t="s">
        <v>44</v>
      </c>
      <c r="C38" s="7"/>
    </row>
    <row r="39" customFormat="false" ht="18" hidden="false" customHeight="true" outlineLevel="0" collapsed="false">
      <c r="B39" s="7" t="s">
        <v>45</v>
      </c>
      <c r="C39" s="7"/>
    </row>
    <row r="41" customFormat="false" ht="19.5" hidden="false" customHeight="true" outlineLevel="0" collapsed="false">
      <c r="B41" s="5" t="s">
        <v>46</v>
      </c>
      <c r="C41" s="6"/>
    </row>
    <row r="42" customFormat="false" ht="18" hidden="false" customHeight="true" outlineLevel="0" collapsed="false">
      <c r="B42" s="14" t="s">
        <v>47</v>
      </c>
      <c r="C42" s="9" t="s">
        <v>48</v>
      </c>
    </row>
    <row r="43" customFormat="false" ht="18" hidden="false" customHeight="true" outlineLevel="0" collapsed="false">
      <c r="B43" s="14" t="s">
        <v>49</v>
      </c>
      <c r="C43" s="9" t="s">
        <v>50</v>
      </c>
    </row>
    <row r="44" customFormat="false" ht="18" hidden="false" customHeight="true" outlineLevel="0" collapsed="false">
      <c r="B44" s="14" t="s">
        <v>51</v>
      </c>
      <c r="C44" s="9" t="s">
        <v>52</v>
      </c>
    </row>
    <row r="45" customFormat="false" ht="18" hidden="false" customHeight="true" outlineLevel="0" collapsed="false">
      <c r="B45" s="14" t="s">
        <v>53</v>
      </c>
      <c r="C45" s="9" t="s">
        <v>54</v>
      </c>
    </row>
    <row r="46" customFormat="false" ht="18" hidden="false" customHeight="true" outlineLevel="0" collapsed="false">
      <c r="B46" s="14" t="s">
        <v>55</v>
      </c>
      <c r="C46" s="9" t="s">
        <v>56</v>
      </c>
    </row>
    <row r="48" customFormat="false" ht="30" hidden="false" customHeight="true" outlineLevel="0" collapsed="false">
      <c r="B48" s="15" t="s">
        <v>57</v>
      </c>
      <c r="C48" s="15"/>
    </row>
  </sheetData>
  <mergeCells count="7">
    <mergeCell ref="B8:C8"/>
    <mergeCell ref="B35:C35"/>
    <mergeCell ref="B36:C36"/>
    <mergeCell ref="B37:C37"/>
    <mergeCell ref="B38:C38"/>
    <mergeCell ref="B39:C39"/>
    <mergeCell ref="B48:C48"/>
  </mergeCells>
  <hyperlinks>
    <hyperlink ref="B42" location="'Profit Margin Calculator'!A1" display="Profit Margin Calculator"/>
    <hyperlink ref="B43" location="'Monthly Trend'!A1" display="Monthly Trend"/>
    <hyperlink ref="B44" location="'Worked Examples'!A1" display="Worked Examples"/>
    <hyperlink ref="B45" location="'Formula Guide'!A1" display="Formula Guide"/>
    <hyperlink ref="B46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6" min="4" style="0" width="18"/>
    <col collapsed="false" customWidth="true" hidden="false" outlineLevel="0" max="7" min="7" style="0" width="3"/>
    <col collapsed="false" customWidth="true" hidden="false" outlineLevel="0" max="8" min="8" style="0" width="38"/>
    <col collapsed="false" customWidth="true" hidden="false" outlineLevel="0" max="9" min="9" style="0" width="20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58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59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14</v>
      </c>
      <c r="D8" s="19" t="n">
        <v>500000</v>
      </c>
      <c r="E8" s="20" t="s">
        <v>60</v>
      </c>
      <c r="F8" s="20"/>
      <c r="H8" s="21" t="s">
        <v>61</v>
      </c>
      <c r="I8" s="17"/>
    </row>
    <row r="9" customFormat="false" ht="15" hidden="false" customHeight="true" outlineLevel="0" collapsed="false">
      <c r="B9" s="18" t="s">
        <v>16</v>
      </c>
      <c r="D9" s="19" t="n">
        <v>300000</v>
      </c>
      <c r="E9" s="20" t="s">
        <v>62</v>
      </c>
      <c r="F9" s="20"/>
      <c r="H9" s="16"/>
      <c r="I9" s="17"/>
    </row>
    <row r="10" customFormat="false" ht="15" hidden="false" customHeight="true" outlineLevel="0" collapsed="false">
      <c r="B10" s="18" t="s">
        <v>18</v>
      </c>
      <c r="D10" s="19" t="n">
        <v>120000</v>
      </c>
      <c r="E10" s="20" t="s">
        <v>63</v>
      </c>
      <c r="F10" s="20"/>
      <c r="H10" s="22" t="s">
        <v>64</v>
      </c>
      <c r="I10" s="17"/>
    </row>
    <row r="11" customFormat="false" ht="15" hidden="false" customHeight="true" outlineLevel="0" collapsed="false">
      <c r="B11" s="18" t="s">
        <v>20</v>
      </c>
      <c r="D11" s="19" t="n">
        <v>30000</v>
      </c>
      <c r="E11" s="20" t="s">
        <v>65</v>
      </c>
      <c r="F11" s="20"/>
      <c r="H11" s="23" t="n">
        <f aca="false">IF(AND(ISNUMBER(Revenue),N(Revenue)&gt;0),(Revenue-N(COGS)-N(Opex)-N(Interest_Tax))/Revenue,"—")</f>
        <v>0.1</v>
      </c>
      <c r="I11" s="23"/>
    </row>
    <row r="12" customFormat="false" ht="15" hidden="false" customHeight="false" outlineLevel="0" collapsed="false">
      <c r="H12" s="23"/>
      <c r="I12" s="23"/>
    </row>
    <row r="13" customFormat="false" ht="19.5" hidden="false" customHeight="true" outlineLevel="0" collapsed="false">
      <c r="B13" s="5" t="s">
        <v>66</v>
      </c>
      <c r="C13" s="6"/>
      <c r="D13" s="6"/>
      <c r="E13" s="6"/>
      <c r="F13" s="6"/>
      <c r="H13" s="16"/>
      <c r="I13" s="17"/>
    </row>
    <row r="14" customFormat="false" ht="30" hidden="false" customHeight="true" outlineLevel="0" collapsed="false">
      <c r="B14" s="24"/>
      <c r="C14" s="25" t="s">
        <v>67</v>
      </c>
      <c r="D14" s="25" t="s">
        <v>68</v>
      </c>
      <c r="E14" s="25" t="s">
        <v>69</v>
      </c>
      <c r="H14" s="26" t="s">
        <v>32</v>
      </c>
      <c r="I14" s="27" t="n">
        <f aca="false">IF(AND(ISNUMBER(Revenue),N(Revenue)&gt;0),(Revenue-N(COGS))/Revenue,"—")</f>
        <v>0.4</v>
      </c>
    </row>
    <row r="15" customFormat="false" ht="15" hidden="false" customHeight="false" outlineLevel="0" collapsed="false">
      <c r="B15" s="18" t="s">
        <v>14</v>
      </c>
      <c r="C15" s="28" t="n">
        <f aca="false">IF(AND(ISNUMBER(Revenue),N(Revenue)&gt;0),Revenue,"—")</f>
        <v>500000</v>
      </c>
      <c r="D15" s="29" t="n">
        <f aca="false">IF(AND(ISNUMBER(Revenue),N(Revenue)&gt;0),(Revenue)/Revenue*100,"—")</f>
        <v>100</v>
      </c>
      <c r="H15" s="26" t="s">
        <v>34</v>
      </c>
      <c r="I15" s="27" t="n">
        <f aca="false">IF(AND(ISNUMBER(Revenue),N(Revenue)&gt;0),(Revenue-N(COGS)-N(Opex))/Revenue,"—")</f>
        <v>0.16</v>
      </c>
    </row>
    <row r="16" customFormat="false" ht="15" hidden="false" customHeight="false" outlineLevel="0" collapsed="false">
      <c r="B16" s="18" t="s">
        <v>70</v>
      </c>
      <c r="C16" s="28" t="n">
        <f aca="false">IF(AND(ISNUMBER(Revenue),N(Revenue)&gt;0),N(COGS),"—")</f>
        <v>300000</v>
      </c>
      <c r="D16" s="29" t="n">
        <f aca="false">IF(AND(ISNUMBER(Revenue),N(Revenue)&gt;0),(N(COGS))/Revenue*100,"—")</f>
        <v>60</v>
      </c>
      <c r="H16" s="26" t="s">
        <v>71</v>
      </c>
      <c r="I16" s="30" t="n">
        <f aca="false">IF(AND(ISNUMBER(Revenue),N(Revenue)&gt;0),Revenue-N(COGS)-N(Opex),"—")</f>
        <v>80000</v>
      </c>
    </row>
    <row r="17" customFormat="false" ht="15" hidden="false" customHeight="false" outlineLevel="0" collapsed="false">
      <c r="B17" s="31" t="s">
        <v>72</v>
      </c>
      <c r="C17" s="32" t="n">
        <f aca="false">IF(AND(ISNUMBER(Revenue),N(Revenue)&gt;0),Revenue-N(COGS),"—")</f>
        <v>200000</v>
      </c>
      <c r="D17" s="33" t="n">
        <f aca="false">IF(AND(ISNUMBER(Revenue),N(Revenue)&gt;0),(Revenue-N(COGS))/Revenue*100,"—")</f>
        <v>40</v>
      </c>
      <c r="E17" s="34" t="n">
        <f aca="false">IF(AND(ISNUMBER(Revenue),N(Revenue)&gt;0),(Revenue-N(COGS))/Revenue,"—")</f>
        <v>0.4</v>
      </c>
      <c r="H17" s="26" t="s">
        <v>73</v>
      </c>
      <c r="I17" s="30" t="n">
        <f aca="false">IF(AND(ISNUMBER(Revenue),N(Revenue)&gt;0),Revenue-N(COGS)-N(Opex)-N(Interest_Tax),"—")</f>
        <v>50000</v>
      </c>
    </row>
    <row r="18" customFormat="false" ht="15" hidden="false" customHeight="false" outlineLevel="0" collapsed="false">
      <c r="B18" s="18" t="s">
        <v>74</v>
      </c>
      <c r="C18" s="28" t="n">
        <f aca="false">IF(AND(ISNUMBER(Revenue),N(Revenue)&gt;0),N(Opex),"—")</f>
        <v>120000</v>
      </c>
      <c r="D18" s="29" t="n">
        <f aca="false">IF(AND(ISNUMBER(Revenue),N(Revenue)&gt;0),(N(Opex))/Revenue*100,"—")</f>
        <v>24</v>
      </c>
      <c r="H18" s="16"/>
      <c r="I18" s="17"/>
    </row>
    <row r="19" customFormat="false" ht="15" hidden="false" customHeight="false" outlineLevel="0" collapsed="false">
      <c r="B19" s="31" t="s">
        <v>71</v>
      </c>
      <c r="C19" s="32" t="n">
        <f aca="false">IF(AND(ISNUMBER(Revenue),N(Revenue)&gt;0),Revenue-N(COGS)-N(Opex),"—")</f>
        <v>80000</v>
      </c>
      <c r="D19" s="33" t="n">
        <f aca="false">IF(AND(ISNUMBER(Revenue),N(Revenue)&gt;0),(Revenue-N(COGS)-N(Opex))/Revenue*100,"—")</f>
        <v>16</v>
      </c>
      <c r="E19" s="34" t="n">
        <f aca="false">IF(AND(ISNUMBER(Revenue),N(Revenue)&gt;0),(Revenue-N(COGS)-N(Opex))/Revenue,"—")</f>
        <v>0.16</v>
      </c>
      <c r="H19" s="16"/>
      <c r="I19" s="17"/>
    </row>
    <row r="20" customFormat="false" ht="15" hidden="false" customHeight="false" outlineLevel="0" collapsed="false">
      <c r="B20" s="18" t="s">
        <v>75</v>
      </c>
      <c r="C20" s="28" t="n">
        <f aca="false">IF(AND(ISNUMBER(Revenue),N(Revenue)&gt;0),N(Interest_Tax),"—")</f>
        <v>30000</v>
      </c>
      <c r="D20" s="29" t="n">
        <f aca="false">IF(AND(ISNUMBER(Revenue),N(Revenue)&gt;0),(N(Interest_Tax))/Revenue*100,"—")</f>
        <v>6</v>
      </c>
    </row>
    <row r="21" customFormat="false" ht="19.5" hidden="false" customHeight="true" outlineLevel="0" collapsed="false">
      <c r="B21" s="31" t="s">
        <v>73</v>
      </c>
      <c r="C21" s="32" t="n">
        <f aca="false">IF(AND(ISNUMBER(Revenue),N(Revenue)&gt;0),Revenue-N(COGS)-N(Opex)-N(Interest_Tax),"—")</f>
        <v>50000</v>
      </c>
      <c r="D21" s="33" t="n">
        <f aca="false">IF(AND(ISNUMBER(Revenue),N(Revenue)&gt;0),(Revenue-N(COGS)-N(Opex)-N(Interest_Tax))/Revenue*100,"—")</f>
        <v>10</v>
      </c>
      <c r="E21" s="34" t="n">
        <f aca="false">IF(AND(ISNUMBER(Revenue),N(Revenue)&gt;0),(Revenue-N(COGS)-N(Opex)-N(Interest_Tax))/Revenue,"—")</f>
        <v>0.1</v>
      </c>
      <c r="H21" s="5" t="s">
        <v>76</v>
      </c>
      <c r="I21" s="6"/>
    </row>
    <row r="22" customFormat="false" ht="15" hidden="false" customHeight="false" outlineLevel="0" collapsed="false">
      <c r="H22" s="35" t="str">
        <f aca="false">IF(AND(ISNUMBER(Revenue),N(Revenue)&gt;0),IF(Net_Margin&gt;=0,TEXT(Net_Margin*100,"0.00")&amp;" cents of every sales dollar reaches the bottom line. Direct costs take "&amp;TEXT(N(COGS)/Revenue*100,"0.00")&amp;" cents, overheads take "&amp;TEXT(N(Opex)/Revenue*100,"0.00")&amp;", and interest and tax take the rest.","The business made a loss of "&amp;TEXT(ABS(Net_Profit),"#,##0.00")&amp;" on "&amp;TEXT(Revenue,"#,##0.00")&amp;" of revenue. Check the gross margin first — if it is healthy, the problem is overheads rather than pricing."),"Enter your revenue above to see a result.")</f>
        <v>10.00 cents of every sales dollar reaches the bottom line. Direct costs take 60.00 cents, overheads take 24.00, and interest and tax take the rest.</v>
      </c>
      <c r="I22" s="35"/>
    </row>
    <row r="23" customFormat="false" ht="19.5" hidden="false" customHeight="true" outlineLevel="0" collapsed="false">
      <c r="B23" s="5" t="s">
        <v>77</v>
      </c>
      <c r="C23" s="6"/>
      <c r="D23" s="6"/>
      <c r="E23" s="6"/>
      <c r="F23" s="6"/>
      <c r="H23" s="35"/>
      <c r="I23" s="35"/>
    </row>
    <row r="24" customFormat="false" ht="30" hidden="false" customHeight="true" outlineLevel="0" collapsed="false">
      <c r="B24" s="24" t="s">
        <v>78</v>
      </c>
      <c r="C24" s="25" t="s">
        <v>79</v>
      </c>
      <c r="D24" s="25" t="s">
        <v>80</v>
      </c>
      <c r="H24" s="35"/>
      <c r="I24" s="35"/>
    </row>
    <row r="25" customFormat="false" ht="15" hidden="false" customHeight="false" outlineLevel="0" collapsed="false">
      <c r="B25" s="18" t="s">
        <v>81</v>
      </c>
      <c r="C25" s="36" t="n">
        <f aca="false">IF(AND(ISNUMBER(Revenue),N(Revenue)&gt;0),N(Opex)/Revenue*100,"—")</f>
        <v>24</v>
      </c>
      <c r="D25" s="37" t="n">
        <f aca="false">IF(AND(ISNUMBER(Revenue),N(Revenue)&gt;0),IF(Revenue-N(COGS)&gt;0,N(Opex)/(Revenue-N(COGS)),"—"),"—")</f>
        <v>0.6</v>
      </c>
      <c r="H25" s="35"/>
      <c r="I25" s="35"/>
    </row>
    <row r="26" customFormat="false" ht="15" hidden="false" customHeight="false" outlineLevel="0" collapsed="false">
      <c r="B26" s="18" t="s">
        <v>82</v>
      </c>
      <c r="C26" s="36" t="n">
        <f aca="false">IF(AND(ISNUMBER(Revenue),N(Revenue)&gt;0),N(Interest_Tax)/Revenue*100,"—")</f>
        <v>6</v>
      </c>
      <c r="D26" s="37" t="n">
        <f aca="false">IF(AND(ISNUMBER(Revenue),N(Revenue)&gt;0),IF(Revenue-N(COGS)&gt;0,N(Interest_Tax)/(Revenue-N(COGS)),"—"),"—")</f>
        <v>0.15</v>
      </c>
      <c r="H26" s="35"/>
      <c r="I26" s="35"/>
    </row>
    <row r="27" customFormat="false" ht="15" hidden="false" customHeight="false" outlineLevel="0" collapsed="false">
      <c r="H27" s="35"/>
      <c r="I27" s="35"/>
    </row>
    <row r="28" customFormat="false" ht="30" hidden="false" customHeight="true" outlineLevel="0" collapsed="false">
      <c r="B28" s="20" t="s">
        <v>83</v>
      </c>
      <c r="C28" s="20"/>
      <c r="D28" s="20"/>
      <c r="E28" s="20"/>
      <c r="F28" s="20"/>
    </row>
    <row r="29" customFormat="false" ht="19.5" hidden="false" customHeight="true" outlineLevel="0" collapsed="false">
      <c r="B29" s="20"/>
      <c r="C29" s="20"/>
      <c r="D29" s="20"/>
      <c r="E29" s="20"/>
      <c r="F29" s="20"/>
      <c r="H29" s="5" t="s">
        <v>84</v>
      </c>
      <c r="I29" s="6"/>
    </row>
    <row r="30" customFormat="false" ht="15" hidden="false" customHeight="false" outlineLevel="0" collapsed="false">
      <c r="B30" s="20"/>
      <c r="C30" s="20"/>
      <c r="D30" s="20"/>
      <c r="E30" s="20"/>
      <c r="F30" s="20"/>
      <c r="H30" s="38" t="str">
        <f aca="false">IF(NOT(ISNUMBER(Revenue)),"Check — enter your revenue",IF(Revenue&lt;=0,"Check — revenue must be above zero","OK — revenue entered"))</f>
        <v>OK — revenue entered</v>
      </c>
      <c r="I30" s="38"/>
    </row>
    <row r="31" customFormat="false" ht="15" hidden="false" customHeight="false" outlineLevel="0" collapsed="false">
      <c r="H31" s="38" t="str">
        <f aca="false">IF(COUNTBLANK($D$9:$D$11)&gt;0,"OK — "&amp;COUNTBLANK($D$9:$D$11)&amp;" cost line(s) blank, treated as zero","OK — all cost lines entered")</f>
        <v>OK — all cost lines entered</v>
      </c>
      <c r="I31" s="38"/>
    </row>
    <row r="32" customFormat="false" ht="15" hidden="false" customHeight="false" outlineLevel="0" collapsed="false">
      <c r="H32" s="38" t="str">
        <f aca="false">IF(OR(N(COGS)&lt;0,N(Opex)&lt;0),"Check — a negative cost is unusual; enter costs as positive numbers","OK — costs entered as positive numbers")</f>
        <v>OK — costs entered as positive numbers</v>
      </c>
      <c r="I32" s="38"/>
    </row>
    <row r="33" customFormat="false" ht="15" hidden="false" customHeight="false" outlineLevel="0" collapsed="false">
      <c r="H33" s="38" t="str">
        <f aca="false">IF(AND(AND(ISNUMBER(Revenue),N(Revenue)&gt;0),Net_Margin&gt;1),"Check — net margin above 100% means something other than sales is in the figures","OK — margins within a normal range")</f>
        <v>OK — margins within a normal range</v>
      </c>
      <c r="I33" s="38"/>
    </row>
    <row r="35" customFormat="false" ht="15" hidden="false" customHeight="true" outlineLevel="0" collapsed="false">
      <c r="H35" s="20" t="s">
        <v>85</v>
      </c>
      <c r="I35" s="20"/>
    </row>
    <row r="36" customFormat="false" ht="15" hidden="false" customHeight="false" outlineLevel="0" collapsed="false">
      <c r="H36" s="20"/>
      <c r="I36" s="20"/>
    </row>
  </sheetData>
  <mergeCells count="12">
    <mergeCell ref="E8:F8"/>
    <mergeCell ref="E9:F9"/>
    <mergeCell ref="E10:F10"/>
    <mergeCell ref="E11:F11"/>
    <mergeCell ref="H11:I12"/>
    <mergeCell ref="H22:I27"/>
    <mergeCell ref="B28:F30"/>
    <mergeCell ref="H30:I30"/>
    <mergeCell ref="H31:I31"/>
    <mergeCell ref="H32:I32"/>
    <mergeCell ref="H33:I33"/>
    <mergeCell ref="H35:I36"/>
  </mergeCells>
  <conditionalFormatting sqref="C15">
    <cfRule type="expression" priority="2" aboveAverage="0" equalAverage="0" bottom="0" percent="0" rank="0" text="" dxfId="0">
      <formula>AND(ISNUMBER($C$15),$C$15&lt;0)</formula>
    </cfRule>
  </conditionalFormatting>
  <conditionalFormatting sqref="C16">
    <cfRule type="expression" priority="3" aboveAverage="0" equalAverage="0" bottom="0" percent="0" rank="0" text="" dxfId="0">
      <formula>AND(ISNUMBER($C$16),$C$16&lt;0)</formula>
    </cfRule>
  </conditionalFormatting>
  <conditionalFormatting sqref="E17">
    <cfRule type="expression" priority="4" aboveAverage="0" equalAverage="0" bottom="0" percent="0" rank="0" text="" dxfId="1">
      <formula>AND(ISNUMBER($E$17),$E$17&lt;0)</formula>
    </cfRule>
  </conditionalFormatting>
  <conditionalFormatting sqref="C17">
    <cfRule type="expression" priority="5" aboveAverage="0" equalAverage="0" bottom="0" percent="0" rank="0" text="" dxfId="1">
      <formula>AND(ISNUMBER($C$17),$C$17&lt;0)</formula>
    </cfRule>
  </conditionalFormatting>
  <conditionalFormatting sqref="C18">
    <cfRule type="expression" priority="6" aboveAverage="0" equalAverage="0" bottom="0" percent="0" rank="0" text="" dxfId="0">
      <formula>AND(ISNUMBER($C$18),$C$18&lt;0)</formula>
    </cfRule>
  </conditionalFormatting>
  <conditionalFormatting sqref="E19">
    <cfRule type="expression" priority="7" aboveAverage="0" equalAverage="0" bottom="0" percent="0" rank="0" text="" dxfId="1">
      <formula>AND(ISNUMBER($E$19),$E$19&lt;0)</formula>
    </cfRule>
  </conditionalFormatting>
  <conditionalFormatting sqref="C19">
    <cfRule type="expression" priority="8" aboveAverage="0" equalAverage="0" bottom="0" percent="0" rank="0" text="" dxfId="1">
      <formula>AND(ISNUMBER($C$19),$C$19&lt;0)</formula>
    </cfRule>
  </conditionalFormatting>
  <conditionalFormatting sqref="C20">
    <cfRule type="expression" priority="9" aboveAverage="0" equalAverage="0" bottom="0" percent="0" rank="0" text="" dxfId="0">
      <formula>AND(ISNUMBER($C$20),$C$20&lt;0)</formula>
    </cfRule>
  </conditionalFormatting>
  <conditionalFormatting sqref="E21">
    <cfRule type="expression" priority="10" aboveAverage="0" equalAverage="0" bottom="0" percent="0" rank="0" text="" dxfId="1">
      <formula>AND(ISNUMBER($E$21),$E$21&lt;0)</formula>
    </cfRule>
  </conditionalFormatting>
  <conditionalFormatting sqref="C21">
    <cfRule type="expression" priority="11" aboveAverage="0" equalAverage="0" bottom="0" percent="0" rank="0" text="" dxfId="1">
      <formula>AND(ISNUMBER($C$21),$C$21&lt;0)</formula>
    </cfRule>
  </conditionalFormatting>
  <conditionalFormatting sqref="H11">
    <cfRule type="expression" priority="12" aboveAverage="0" equalAverage="0" bottom="0" percent="0" rank="0" text="" dxfId="2">
      <formula>AND(ISNUMBER($H$11),$H$11&lt;0)</formula>
    </cfRule>
  </conditionalFormatting>
  <conditionalFormatting sqref="I14">
    <cfRule type="expression" priority="13" aboveAverage="0" equalAverage="0" bottom="0" percent="0" rank="0" text="" dxfId="3">
      <formula>AND(ISNUMBER($I$14),$I$14&lt;0)</formula>
    </cfRule>
  </conditionalFormatting>
  <conditionalFormatting sqref="I15">
    <cfRule type="expression" priority="14" aboveAverage="0" equalAverage="0" bottom="0" percent="0" rank="0" text="" dxfId="3">
      <formula>AND(ISNUMBER($I$15),$I$15&lt;0)</formula>
    </cfRule>
  </conditionalFormatting>
  <conditionalFormatting sqref="I16">
    <cfRule type="expression" priority="15" aboveAverage="0" equalAverage="0" bottom="0" percent="0" rank="0" text="" dxfId="3">
      <formula>AND(ISNUMBER($I$16),$I$16&lt;0)</formula>
    </cfRule>
  </conditionalFormatting>
  <conditionalFormatting sqref="I17">
    <cfRule type="expression" priority="16" aboveAverage="0" equalAverage="0" bottom="0" percent="0" rank="0" text="" dxfId="3">
      <formula>AND(ISNUMBER($I$17),$I$17&lt;0)</formula>
    </cfRule>
  </conditionalFormatting>
  <conditionalFormatting sqref="H30">
    <cfRule type="expression" priority="17" aboveAverage="0" equalAverage="0" bottom="0" percent="0" rank="0" text="" dxfId="4">
      <formula>LEFT(H30,5)="Check"</formula>
    </cfRule>
    <cfRule type="expression" priority="18" aboveAverage="0" equalAverage="0" bottom="0" percent="0" rank="0" text="" dxfId="5">
      <formula>LEFT(H30,2)="OK"</formula>
    </cfRule>
  </conditionalFormatting>
  <conditionalFormatting sqref="H31">
    <cfRule type="expression" priority="19" aboveAverage="0" equalAverage="0" bottom="0" percent="0" rank="0" text="" dxfId="4">
      <formula>LEFT(H31,5)="Check"</formula>
    </cfRule>
    <cfRule type="expression" priority="20" aboveAverage="0" equalAverage="0" bottom="0" percent="0" rank="0" text="" dxfId="5">
      <formula>LEFT(H31,2)="OK"</formula>
    </cfRule>
  </conditionalFormatting>
  <conditionalFormatting sqref="H32">
    <cfRule type="expression" priority="21" aboveAverage="0" equalAverage="0" bottom="0" percent="0" rank="0" text="" dxfId="4">
      <formula>LEFT(H32,5)="Check"</formula>
    </cfRule>
    <cfRule type="expression" priority="22" aboveAverage="0" equalAverage="0" bottom="0" percent="0" rank="0" text="" dxfId="5">
      <formula>LEFT(H32,2)="OK"</formula>
    </cfRule>
  </conditionalFormatting>
  <conditionalFormatting sqref="H33">
    <cfRule type="expression" priority="23" aboveAverage="0" equalAverage="0" bottom="0" percent="0" rank="0" text="" dxfId="4">
      <formula>LEFT(H33,5)="Check"</formula>
    </cfRule>
    <cfRule type="expression" priority="24" aboveAverage="0" equalAverage="0" bottom="0" percent="0" rank="0" text="" dxfId="5">
      <formula>LEFT(H33,2)="OK"</formula>
    </cfRule>
  </conditionalFormatting>
  <dataValidations count="1">
    <dataValidation allowBlank="true" error="Enter a number." errorStyle="stop" errorTitle="Value" operator="between" showDropDown="false" showErrorMessage="true" showInputMessage="false" sqref="D8:D11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Q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"/>
    <col collapsed="false" customWidth="true" hidden="false" outlineLevel="0" max="6" min="3" style="0" width="14"/>
    <col collapsed="false" customWidth="true" hidden="false" outlineLevel="0" max="9" min="7" style="0" width="12"/>
    <col collapsed="false" customWidth="true" hidden="false" outlineLevel="0" max="10" min="10" style="0" width="3"/>
    <col collapsed="false" customWidth="true" hidden="false" outlineLevel="0" max="16" min="11" style="0" width="10"/>
    <col collapsed="false" customWidth="true" hidden="false" outlineLevel="0" max="17" min="1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30" hidden="false" customHeight="true" outlineLevel="0" collapsed="false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false" ht="19.5" hidden="false" customHeight="true" outlineLevel="0" collapsed="false">
      <c r="A3" s="1"/>
      <c r="B3" s="3" t="s">
        <v>86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7" customFormat="false" ht="30" hidden="false" customHeight="true" outlineLevel="0" collapsed="false">
      <c r="B7" s="24" t="s">
        <v>87</v>
      </c>
      <c r="C7" s="25" t="s">
        <v>14</v>
      </c>
      <c r="D7" s="25" t="s">
        <v>16</v>
      </c>
      <c r="E7" s="25" t="s">
        <v>18</v>
      </c>
      <c r="F7" s="25" t="s">
        <v>20</v>
      </c>
      <c r="G7" s="25" t="s">
        <v>32</v>
      </c>
      <c r="H7" s="25" t="s">
        <v>34</v>
      </c>
      <c r="I7" s="25" t="s">
        <v>36</v>
      </c>
    </row>
    <row r="8" customFormat="false" ht="15" hidden="false" customHeight="false" outlineLevel="0" collapsed="false">
      <c r="B8" s="39" t="s">
        <v>88</v>
      </c>
      <c r="C8" s="40" t="n">
        <v>38000</v>
      </c>
      <c r="D8" s="40" t="n">
        <v>22400</v>
      </c>
      <c r="E8" s="40" t="n">
        <v>10000</v>
      </c>
      <c r="F8" s="40" t="n">
        <v>2300</v>
      </c>
      <c r="G8" s="37" t="n">
        <f aca="false">IF(AND(ISNUMBER(C8),N(C8)&gt;0),(C8-N(D8))/C8,"")</f>
        <v>0.410526315789474</v>
      </c>
      <c r="H8" s="37" t="n">
        <f aca="false">IF(AND(ISNUMBER(C8),N(C8)&gt;0),(C8-N(D8)-N(E8))/C8,"")</f>
        <v>0.147368421052632</v>
      </c>
      <c r="I8" s="37" t="n">
        <f aca="false">IF(AND(ISNUMBER(C8),N(C8)&gt;0),(C8-N(D8)-N(E8)-N(F8))/C8,"")</f>
        <v>0.0868421052631579</v>
      </c>
    </row>
    <row r="9" customFormat="false" ht="15" hidden="false" customHeight="false" outlineLevel="0" collapsed="false">
      <c r="B9" s="39" t="s">
        <v>89</v>
      </c>
      <c r="C9" s="40" t="n">
        <v>36500</v>
      </c>
      <c r="D9" s="40" t="n">
        <v>21800</v>
      </c>
      <c r="E9" s="40" t="n">
        <v>10000</v>
      </c>
      <c r="F9" s="40" t="n">
        <v>2100</v>
      </c>
      <c r="G9" s="37" t="n">
        <f aca="false">IF(AND(ISNUMBER(C9),N(C9)&gt;0),(C9-N(D9))/C9,"")</f>
        <v>0.402739726027397</v>
      </c>
      <c r="H9" s="37" t="n">
        <f aca="false">IF(AND(ISNUMBER(C9),N(C9)&gt;0),(C9-N(D9)-N(E9))/C9,"")</f>
        <v>0.128767123287671</v>
      </c>
      <c r="I9" s="37" t="n">
        <f aca="false">IF(AND(ISNUMBER(C9),N(C9)&gt;0),(C9-N(D9)-N(E9)-N(F9))/C9,"")</f>
        <v>0.0712328767123288</v>
      </c>
    </row>
    <row r="10" customFormat="false" ht="15" hidden="false" customHeight="false" outlineLevel="0" collapsed="false">
      <c r="B10" s="39" t="s">
        <v>90</v>
      </c>
      <c r="C10" s="40" t="n">
        <v>41000</v>
      </c>
      <c r="D10" s="40" t="n">
        <v>24300</v>
      </c>
      <c r="E10" s="40" t="n">
        <v>10000</v>
      </c>
      <c r="F10" s="40" t="n">
        <v>2500</v>
      </c>
      <c r="G10" s="37" t="n">
        <f aca="false">IF(AND(ISNUMBER(C10),N(C10)&gt;0),(C10-N(D10))/C10,"")</f>
        <v>0.407317073170732</v>
      </c>
      <c r="H10" s="37" t="n">
        <f aca="false">IF(AND(ISNUMBER(C10),N(C10)&gt;0),(C10-N(D10)-N(E10))/C10,"")</f>
        <v>0.163414634146341</v>
      </c>
      <c r="I10" s="37" t="n">
        <f aca="false">IF(AND(ISNUMBER(C10),N(C10)&gt;0),(C10-N(D10)-N(E10)-N(F10))/C10,"")</f>
        <v>0.102439024390244</v>
      </c>
    </row>
    <row r="11" customFormat="false" ht="15" hidden="false" customHeight="false" outlineLevel="0" collapsed="false">
      <c r="B11" s="39" t="s">
        <v>91</v>
      </c>
      <c r="C11" s="40" t="n">
        <v>40200</v>
      </c>
      <c r="D11" s="40" t="n">
        <v>24100</v>
      </c>
      <c r="E11" s="40" t="n">
        <v>10000</v>
      </c>
      <c r="F11" s="40" t="n">
        <v>2400</v>
      </c>
      <c r="G11" s="37" t="n">
        <f aca="false">IF(AND(ISNUMBER(C11),N(C11)&gt;0),(C11-N(D11))/C11,"")</f>
        <v>0.400497512437811</v>
      </c>
      <c r="H11" s="37" t="n">
        <f aca="false">IF(AND(ISNUMBER(C11),N(C11)&gt;0),(C11-N(D11)-N(E11))/C11,"")</f>
        <v>0.151741293532338</v>
      </c>
      <c r="I11" s="37" t="n">
        <f aca="false">IF(AND(ISNUMBER(C11),N(C11)&gt;0),(C11-N(D11)-N(E11)-N(F11))/C11,"")</f>
        <v>0.0920398009950249</v>
      </c>
    </row>
    <row r="12" customFormat="false" ht="15" hidden="false" customHeight="false" outlineLevel="0" collapsed="false">
      <c r="B12" s="39" t="s">
        <v>92</v>
      </c>
      <c r="C12" s="40" t="n">
        <v>43500</v>
      </c>
      <c r="D12" s="40" t="n">
        <v>26500</v>
      </c>
      <c r="E12" s="40" t="n">
        <v>10000</v>
      </c>
      <c r="F12" s="40" t="n">
        <v>2600</v>
      </c>
      <c r="G12" s="37" t="n">
        <f aca="false">IF(AND(ISNUMBER(C12),N(C12)&gt;0),(C12-N(D12))/C12,"")</f>
        <v>0.390804597701149</v>
      </c>
      <c r="H12" s="37" t="n">
        <f aca="false">IF(AND(ISNUMBER(C12),N(C12)&gt;0),(C12-N(D12)-N(E12))/C12,"")</f>
        <v>0.160919540229885</v>
      </c>
      <c r="I12" s="37" t="n">
        <f aca="false">IF(AND(ISNUMBER(C12),N(C12)&gt;0),(C12-N(D12)-N(E12)-N(F12))/C12,"")</f>
        <v>0.101149425287356</v>
      </c>
    </row>
    <row r="13" customFormat="false" ht="15" hidden="false" customHeight="false" outlineLevel="0" collapsed="false">
      <c r="B13" s="39" t="s">
        <v>93</v>
      </c>
      <c r="C13" s="40" t="n">
        <v>45000</v>
      </c>
      <c r="D13" s="40" t="n">
        <v>27600</v>
      </c>
      <c r="E13" s="40" t="n">
        <v>10000</v>
      </c>
      <c r="F13" s="40" t="n">
        <v>2700</v>
      </c>
      <c r="G13" s="37" t="n">
        <f aca="false">IF(AND(ISNUMBER(C13),N(C13)&gt;0),(C13-N(D13))/C13,"")</f>
        <v>0.386666666666667</v>
      </c>
      <c r="H13" s="37" t="n">
        <f aca="false">IF(AND(ISNUMBER(C13),N(C13)&gt;0),(C13-N(D13)-N(E13))/C13,"")</f>
        <v>0.164444444444444</v>
      </c>
      <c r="I13" s="37" t="n">
        <f aca="false">IF(AND(ISNUMBER(C13),N(C13)&gt;0),(C13-N(D13)-N(E13)-N(F13))/C13,"")</f>
        <v>0.104444444444444</v>
      </c>
    </row>
    <row r="14" customFormat="false" ht="15" hidden="false" customHeight="false" outlineLevel="0" collapsed="false">
      <c r="B14" s="39" t="s">
        <v>94</v>
      </c>
      <c r="C14" s="40" t="n">
        <v>42800</v>
      </c>
      <c r="D14" s="40" t="n">
        <v>26300</v>
      </c>
      <c r="E14" s="40" t="n">
        <v>10400</v>
      </c>
      <c r="F14" s="40" t="n">
        <v>2500</v>
      </c>
      <c r="G14" s="37" t="n">
        <f aca="false">IF(AND(ISNUMBER(C14),N(C14)&gt;0),(C14-N(D14))/C14,"")</f>
        <v>0.385514018691589</v>
      </c>
      <c r="H14" s="37" t="n">
        <f aca="false">IF(AND(ISNUMBER(C14),N(C14)&gt;0),(C14-N(D14)-N(E14))/C14,"")</f>
        <v>0.142523364485981</v>
      </c>
      <c r="I14" s="37" t="n">
        <f aca="false">IF(AND(ISNUMBER(C14),N(C14)&gt;0),(C14-N(D14)-N(E14)-N(F14))/C14,"")</f>
        <v>0.0841121495327103</v>
      </c>
    </row>
    <row r="15" customFormat="false" ht="15" hidden="false" customHeight="false" outlineLevel="0" collapsed="false">
      <c r="B15" s="39" t="s">
        <v>95</v>
      </c>
      <c r="C15" s="40" t="n">
        <v>39900</v>
      </c>
      <c r="D15" s="40" t="n">
        <v>24700</v>
      </c>
      <c r="E15" s="40" t="n">
        <v>10400</v>
      </c>
      <c r="F15" s="40" t="n">
        <v>2300</v>
      </c>
      <c r="G15" s="37" t="n">
        <f aca="false">IF(AND(ISNUMBER(C15),N(C15)&gt;0),(C15-N(D15))/C15,"")</f>
        <v>0.380952380952381</v>
      </c>
      <c r="H15" s="37" t="n">
        <f aca="false">IF(AND(ISNUMBER(C15),N(C15)&gt;0),(C15-N(D15)-N(E15))/C15,"")</f>
        <v>0.120300751879699</v>
      </c>
      <c r="I15" s="37" t="n">
        <f aca="false">IF(AND(ISNUMBER(C15),N(C15)&gt;0),(C15-N(D15)-N(E15)-N(F15))/C15,"")</f>
        <v>0.06265664160401</v>
      </c>
    </row>
    <row r="16" customFormat="false" ht="15" hidden="false" customHeight="false" outlineLevel="0" collapsed="false">
      <c r="B16" s="39" t="s">
        <v>96</v>
      </c>
      <c r="C16" s="40" t="n">
        <v>44600</v>
      </c>
      <c r="D16" s="40" t="n">
        <v>27900</v>
      </c>
      <c r="E16" s="40" t="n">
        <v>10400</v>
      </c>
      <c r="F16" s="40" t="n">
        <v>2600</v>
      </c>
      <c r="G16" s="37" t="n">
        <f aca="false">IF(AND(ISNUMBER(C16),N(C16)&gt;0),(C16-N(D16))/C16,"")</f>
        <v>0.374439461883408</v>
      </c>
      <c r="H16" s="37" t="n">
        <f aca="false">IF(AND(ISNUMBER(C16),N(C16)&gt;0),(C16-N(D16)-N(E16))/C16,"")</f>
        <v>0.141255605381166</v>
      </c>
      <c r="I16" s="37" t="n">
        <f aca="false">IF(AND(ISNUMBER(C16),N(C16)&gt;0),(C16-N(D16)-N(E16)-N(F16))/C16,"")</f>
        <v>0.0829596412556054</v>
      </c>
    </row>
    <row r="17" customFormat="false" ht="15" hidden="false" customHeight="false" outlineLevel="0" collapsed="false">
      <c r="B17" s="39" t="s">
        <v>97</v>
      </c>
      <c r="C17" s="40" t="n">
        <v>47100</v>
      </c>
      <c r="D17" s="40" t="n">
        <v>29600</v>
      </c>
      <c r="E17" s="40" t="n">
        <v>10400</v>
      </c>
      <c r="F17" s="40" t="n">
        <v>2800</v>
      </c>
      <c r="G17" s="37" t="n">
        <f aca="false">IF(AND(ISNUMBER(C17),N(C17)&gt;0),(C17-N(D17))/C17,"")</f>
        <v>0.371549893842887</v>
      </c>
      <c r="H17" s="37" t="n">
        <f aca="false">IF(AND(ISNUMBER(C17),N(C17)&gt;0),(C17-N(D17)-N(E17))/C17,"")</f>
        <v>0.150743099787686</v>
      </c>
      <c r="I17" s="37" t="n">
        <f aca="false">IF(AND(ISNUMBER(C17),N(C17)&gt;0),(C17-N(D17)-N(E17)-N(F17))/C17,"")</f>
        <v>0.0912951167728238</v>
      </c>
    </row>
    <row r="18" customFormat="false" ht="15" hidden="false" customHeight="false" outlineLevel="0" collapsed="false">
      <c r="B18" s="39" t="s">
        <v>98</v>
      </c>
      <c r="C18" s="40" t="n">
        <v>49800</v>
      </c>
      <c r="D18" s="40" t="n">
        <v>31500</v>
      </c>
      <c r="E18" s="40" t="n">
        <v>10400</v>
      </c>
      <c r="F18" s="40" t="n">
        <v>3000</v>
      </c>
      <c r="G18" s="37" t="n">
        <f aca="false">IF(AND(ISNUMBER(C18),N(C18)&gt;0),(C18-N(D18))/C18,"")</f>
        <v>0.367469879518072</v>
      </c>
      <c r="H18" s="37" t="n">
        <f aca="false">IF(AND(ISNUMBER(C18),N(C18)&gt;0),(C18-N(D18)-N(E18))/C18,"")</f>
        <v>0.15863453815261</v>
      </c>
      <c r="I18" s="37" t="n">
        <f aca="false">IF(AND(ISNUMBER(C18),N(C18)&gt;0),(C18-N(D18)-N(E18)-N(F18))/C18,"")</f>
        <v>0.0983935742971888</v>
      </c>
    </row>
    <row r="19" customFormat="false" ht="15" hidden="false" customHeight="false" outlineLevel="0" collapsed="false">
      <c r="B19" s="39" t="s">
        <v>99</v>
      </c>
      <c r="C19" s="40" t="n">
        <v>51600</v>
      </c>
      <c r="D19" s="40" t="n">
        <v>32900</v>
      </c>
      <c r="E19" s="40" t="n">
        <v>10400</v>
      </c>
      <c r="F19" s="40" t="n">
        <v>3100</v>
      </c>
      <c r="G19" s="37" t="n">
        <f aca="false">IF(AND(ISNUMBER(C19),N(C19)&gt;0),(C19-N(D19))/C19,"")</f>
        <v>0.362403100775194</v>
      </c>
      <c r="H19" s="37" t="n">
        <f aca="false">IF(AND(ISNUMBER(C19),N(C19)&gt;0),(C19-N(D19)-N(E19))/C19,"")</f>
        <v>0.160852713178295</v>
      </c>
      <c r="I19" s="37" t="n">
        <f aca="false">IF(AND(ISNUMBER(C19),N(C19)&gt;0),(C19-N(D19)-N(E19)-N(F19))/C19,"")</f>
        <v>0.10077519379845</v>
      </c>
    </row>
    <row r="20" customFormat="false" ht="15" hidden="false" customHeight="false" outlineLevel="0" collapsed="false">
      <c r="B20" s="41" t="s">
        <v>100</v>
      </c>
      <c r="C20" s="42" t="n">
        <f aca="false">SUM(C8:C19)</f>
        <v>520000</v>
      </c>
      <c r="D20" s="42" t="n">
        <f aca="false">SUM(D8:D19)</f>
        <v>319600</v>
      </c>
      <c r="E20" s="42" t="n">
        <f aca="false">SUM(E8:E19)</f>
        <v>122400</v>
      </c>
      <c r="F20" s="42" t="n">
        <f aca="false">SUM(F8:F19)</f>
        <v>30900</v>
      </c>
      <c r="G20" s="43" t="n">
        <f aca="false">IF(C20&gt;0,(C20-D20)/C20,"—")</f>
        <v>0.385384615384615</v>
      </c>
      <c r="H20" s="43" t="n">
        <f aca="false">IF(C20&gt;0,(C20-D20-E20)/C20,"—")</f>
        <v>0.15</v>
      </c>
      <c r="I20" s="43" t="n">
        <f aca="false">IF(C20&gt;0,(C20-D20-E20-F20)/C20,"—")</f>
        <v>0.0905769230769231</v>
      </c>
    </row>
    <row r="22" customFormat="false" ht="19.5" hidden="false" customHeight="true" outlineLevel="0" collapsed="false">
      <c r="B22" s="5" t="s">
        <v>101</v>
      </c>
      <c r="C22" s="6"/>
      <c r="D22" s="6"/>
      <c r="E22" s="6"/>
      <c r="F22" s="6"/>
      <c r="G22" s="6"/>
      <c r="H22" s="6"/>
      <c r="I22" s="6"/>
    </row>
    <row r="23" customFormat="false" ht="15" hidden="false" customHeight="false" outlineLevel="0" collapsed="false">
      <c r="B23" s="44" t="s">
        <v>102</v>
      </c>
      <c r="C23" s="44"/>
      <c r="D23" s="44"/>
      <c r="E23" s="44"/>
      <c r="F23" s="44"/>
      <c r="G23" s="45" t="str">
        <f aca="false">IF(COUNT(I8:I19)&gt;0,INDEX(B8:B19,MATCH(MAX(I8:I19),I8:I19,0)),"—")</f>
        <v>Jun</v>
      </c>
      <c r="H23" s="45"/>
    </row>
    <row r="24" customFormat="false" ht="15" hidden="false" customHeight="false" outlineLevel="0" collapsed="false">
      <c r="B24" s="44" t="s">
        <v>103</v>
      </c>
      <c r="C24" s="44"/>
      <c r="D24" s="44"/>
      <c r="E24" s="44"/>
      <c r="F24" s="44"/>
      <c r="G24" s="45" t="str">
        <f aca="false">IF(COUNT(I8:I19)&gt;0,INDEX(B8:B19,MATCH(MIN(I8:I19),I8:I19,0)),"—")</f>
        <v>Aug</v>
      </c>
      <c r="H24" s="45"/>
    </row>
    <row r="25" customFormat="false" ht="15" hidden="false" customHeight="false" outlineLevel="0" collapsed="false">
      <c r="B25" s="44" t="s">
        <v>104</v>
      </c>
      <c r="C25" s="44"/>
      <c r="D25" s="44"/>
      <c r="E25" s="44"/>
      <c r="F25" s="44"/>
      <c r="G25" s="46" t="n">
        <f aca="false">IF(COUNT(G8:G19)&gt;1,LOOKUP(2,1/ISNUMBER(G8:G19),G8:G19)-INDEX(G8:G19,MATCH(TRUE(),INDEX(ISNUMBER(G8:G19),0),0)),"—")</f>
        <v>-0.0481232150142799</v>
      </c>
      <c r="H25" s="46"/>
    </row>
    <row r="26" customFormat="false" ht="15" hidden="false" customHeight="false" outlineLevel="0" collapsed="false">
      <c r="B26" s="44" t="s">
        <v>105</v>
      </c>
      <c r="C26" s="44"/>
      <c r="D26" s="44"/>
      <c r="E26" s="44"/>
      <c r="F26" s="44"/>
      <c r="G26" s="46" t="n">
        <f aca="false">IF(COUNT(I8:I19)&gt;1,LOOKUP(2,1/ISNUMBER(I8:I19),I8:I19)-INDEX(I8:I19,MATCH(TRUE(),INDEX(ISNUMBER(I8:I19),0),0)),"—")</f>
        <v>0.0139330885352917</v>
      </c>
      <c r="H26" s="46"/>
    </row>
    <row r="28" customFormat="false" ht="30" hidden="false" customHeight="true" outlineLevel="0" collapsed="false">
      <c r="B28" s="20" t="s">
        <v>106</v>
      </c>
      <c r="C28" s="20"/>
      <c r="D28" s="20"/>
      <c r="E28" s="20"/>
      <c r="F28" s="20"/>
      <c r="G28" s="20"/>
      <c r="H28" s="20"/>
      <c r="I28" s="20"/>
    </row>
    <row r="29" customFormat="false" ht="15" hidden="false" customHeight="false" outlineLevel="0" collapsed="false">
      <c r="B29" s="20"/>
      <c r="C29" s="20"/>
      <c r="D29" s="20"/>
      <c r="E29" s="20"/>
      <c r="F29" s="20"/>
      <c r="G29" s="20"/>
      <c r="H29" s="20"/>
      <c r="I29" s="20"/>
    </row>
  </sheetData>
  <mergeCells count="9">
    <mergeCell ref="B23:F23"/>
    <mergeCell ref="G23:H23"/>
    <mergeCell ref="B24:F24"/>
    <mergeCell ref="G24:H24"/>
    <mergeCell ref="B25:F25"/>
    <mergeCell ref="G25:H25"/>
    <mergeCell ref="B26:F26"/>
    <mergeCell ref="G26:H26"/>
    <mergeCell ref="B28:I29"/>
  </mergeCells>
  <conditionalFormatting sqref="G8">
    <cfRule type="expression" priority="2" aboveAverage="0" equalAverage="0" bottom="0" percent="0" rank="0" text="" dxfId="0">
      <formula>AND(ISNUMBER($G$8),$G$8&lt;0)</formula>
    </cfRule>
  </conditionalFormatting>
  <conditionalFormatting sqref="H8">
    <cfRule type="expression" priority="3" aboveAverage="0" equalAverage="0" bottom="0" percent="0" rank="0" text="" dxfId="0">
      <formula>AND(ISNUMBER($H$8),$H$8&lt;0)</formula>
    </cfRule>
  </conditionalFormatting>
  <conditionalFormatting sqref="I8">
    <cfRule type="expression" priority="4" aboveAverage="0" equalAverage="0" bottom="0" percent="0" rank="0" text="" dxfId="0">
      <formula>AND(ISNUMBER($I$8),$I$8&lt;0)</formula>
    </cfRule>
  </conditionalFormatting>
  <conditionalFormatting sqref="G9">
    <cfRule type="expression" priority="5" aboveAverage="0" equalAverage="0" bottom="0" percent="0" rank="0" text="" dxfId="0">
      <formula>AND(ISNUMBER($G$9),$G$9&lt;0)</formula>
    </cfRule>
  </conditionalFormatting>
  <conditionalFormatting sqref="H9">
    <cfRule type="expression" priority="6" aboveAverage="0" equalAverage="0" bottom="0" percent="0" rank="0" text="" dxfId="0">
      <formula>AND(ISNUMBER($H$9),$H$9&lt;0)</formula>
    </cfRule>
  </conditionalFormatting>
  <conditionalFormatting sqref="I9">
    <cfRule type="expression" priority="7" aboveAverage="0" equalAverage="0" bottom="0" percent="0" rank="0" text="" dxfId="0">
      <formula>AND(ISNUMBER($I$9),$I$9&lt;0)</formula>
    </cfRule>
  </conditionalFormatting>
  <conditionalFormatting sqref="G10">
    <cfRule type="expression" priority="8" aboveAverage="0" equalAverage="0" bottom="0" percent="0" rank="0" text="" dxfId="0">
      <formula>AND(ISNUMBER($G$10),$G$10&lt;0)</formula>
    </cfRule>
  </conditionalFormatting>
  <conditionalFormatting sqref="H10">
    <cfRule type="expression" priority="9" aboveAverage="0" equalAverage="0" bottom="0" percent="0" rank="0" text="" dxfId="0">
      <formula>AND(ISNUMBER($H$10),$H$10&lt;0)</formula>
    </cfRule>
  </conditionalFormatting>
  <conditionalFormatting sqref="I10">
    <cfRule type="expression" priority="10" aboveAverage="0" equalAverage="0" bottom="0" percent="0" rank="0" text="" dxfId="0">
      <formula>AND(ISNUMBER($I$10),$I$10&lt;0)</formula>
    </cfRule>
  </conditionalFormatting>
  <conditionalFormatting sqref="G11">
    <cfRule type="expression" priority="11" aboveAverage="0" equalAverage="0" bottom="0" percent="0" rank="0" text="" dxfId="0">
      <formula>AND(ISNUMBER($G$11),$G$11&lt;0)</formula>
    </cfRule>
  </conditionalFormatting>
  <conditionalFormatting sqref="H11">
    <cfRule type="expression" priority="12" aboveAverage="0" equalAverage="0" bottom="0" percent="0" rank="0" text="" dxfId="0">
      <formula>AND(ISNUMBER($H$11),$H$11&lt;0)</formula>
    </cfRule>
  </conditionalFormatting>
  <conditionalFormatting sqref="I11">
    <cfRule type="expression" priority="13" aboveAverage="0" equalAverage="0" bottom="0" percent="0" rank="0" text="" dxfId="0">
      <formula>AND(ISNUMBER($I$11),$I$11&lt;0)</formula>
    </cfRule>
  </conditionalFormatting>
  <conditionalFormatting sqref="G12">
    <cfRule type="expression" priority="14" aboveAverage="0" equalAverage="0" bottom="0" percent="0" rank="0" text="" dxfId="0">
      <formula>AND(ISNUMBER($G$12),$G$12&lt;0)</formula>
    </cfRule>
  </conditionalFormatting>
  <conditionalFormatting sqref="H12">
    <cfRule type="expression" priority="15" aboveAverage="0" equalAverage="0" bottom="0" percent="0" rank="0" text="" dxfId="0">
      <formula>AND(ISNUMBER($H$12),$H$12&lt;0)</formula>
    </cfRule>
  </conditionalFormatting>
  <conditionalFormatting sqref="I12">
    <cfRule type="expression" priority="16" aboveAverage="0" equalAverage="0" bottom="0" percent="0" rank="0" text="" dxfId="0">
      <formula>AND(ISNUMBER($I$12),$I$12&lt;0)</formula>
    </cfRule>
  </conditionalFormatting>
  <conditionalFormatting sqref="G13">
    <cfRule type="expression" priority="17" aboveAverage="0" equalAverage="0" bottom="0" percent="0" rank="0" text="" dxfId="0">
      <formula>AND(ISNUMBER($G$13),$G$13&lt;0)</formula>
    </cfRule>
  </conditionalFormatting>
  <conditionalFormatting sqref="H13">
    <cfRule type="expression" priority="18" aboveAverage="0" equalAverage="0" bottom="0" percent="0" rank="0" text="" dxfId="0">
      <formula>AND(ISNUMBER($H$13),$H$13&lt;0)</formula>
    </cfRule>
  </conditionalFormatting>
  <conditionalFormatting sqref="I13">
    <cfRule type="expression" priority="19" aboveAverage="0" equalAverage="0" bottom="0" percent="0" rank="0" text="" dxfId="0">
      <formula>AND(ISNUMBER($I$13),$I$13&lt;0)</formula>
    </cfRule>
  </conditionalFormatting>
  <conditionalFormatting sqref="G14">
    <cfRule type="expression" priority="20" aboveAverage="0" equalAverage="0" bottom="0" percent="0" rank="0" text="" dxfId="0">
      <formula>AND(ISNUMBER($G$14),$G$14&lt;0)</formula>
    </cfRule>
  </conditionalFormatting>
  <conditionalFormatting sqref="H14">
    <cfRule type="expression" priority="21" aboveAverage="0" equalAverage="0" bottom="0" percent="0" rank="0" text="" dxfId="0">
      <formula>AND(ISNUMBER($H$14),$H$14&lt;0)</formula>
    </cfRule>
  </conditionalFormatting>
  <conditionalFormatting sqref="I14">
    <cfRule type="expression" priority="22" aboveAverage="0" equalAverage="0" bottom="0" percent="0" rank="0" text="" dxfId="0">
      <formula>AND(ISNUMBER($I$14),$I$14&lt;0)</formula>
    </cfRule>
  </conditionalFormatting>
  <conditionalFormatting sqref="G15">
    <cfRule type="expression" priority="23" aboveAverage="0" equalAverage="0" bottom="0" percent="0" rank="0" text="" dxfId="0">
      <formula>AND(ISNUMBER($G$15),$G$15&lt;0)</formula>
    </cfRule>
  </conditionalFormatting>
  <conditionalFormatting sqref="H15">
    <cfRule type="expression" priority="24" aboveAverage="0" equalAverage="0" bottom="0" percent="0" rank="0" text="" dxfId="0">
      <formula>AND(ISNUMBER($H$15),$H$15&lt;0)</formula>
    </cfRule>
  </conditionalFormatting>
  <conditionalFormatting sqref="I15">
    <cfRule type="expression" priority="25" aboveAverage="0" equalAverage="0" bottom="0" percent="0" rank="0" text="" dxfId="0">
      <formula>AND(ISNUMBER($I$15),$I$15&lt;0)</formula>
    </cfRule>
  </conditionalFormatting>
  <conditionalFormatting sqref="G16">
    <cfRule type="expression" priority="26" aboveAverage="0" equalAverage="0" bottom="0" percent="0" rank="0" text="" dxfId="0">
      <formula>AND(ISNUMBER($G$16),$G$16&lt;0)</formula>
    </cfRule>
  </conditionalFormatting>
  <conditionalFormatting sqref="H16">
    <cfRule type="expression" priority="27" aboveAverage="0" equalAverage="0" bottom="0" percent="0" rank="0" text="" dxfId="0">
      <formula>AND(ISNUMBER($H$16),$H$16&lt;0)</formula>
    </cfRule>
  </conditionalFormatting>
  <conditionalFormatting sqref="I16">
    <cfRule type="expression" priority="28" aboveAverage="0" equalAverage="0" bottom="0" percent="0" rank="0" text="" dxfId="0">
      <formula>AND(ISNUMBER($I$16),$I$16&lt;0)</formula>
    </cfRule>
  </conditionalFormatting>
  <conditionalFormatting sqref="G17">
    <cfRule type="expression" priority="29" aboveAverage="0" equalAverage="0" bottom="0" percent="0" rank="0" text="" dxfId="0">
      <formula>AND(ISNUMBER($G$17),$G$17&lt;0)</formula>
    </cfRule>
  </conditionalFormatting>
  <conditionalFormatting sqref="H17">
    <cfRule type="expression" priority="30" aboveAverage="0" equalAverage="0" bottom="0" percent="0" rank="0" text="" dxfId="0">
      <formula>AND(ISNUMBER($H$17),$H$17&lt;0)</formula>
    </cfRule>
  </conditionalFormatting>
  <conditionalFormatting sqref="I17">
    <cfRule type="expression" priority="31" aboveAverage="0" equalAverage="0" bottom="0" percent="0" rank="0" text="" dxfId="0">
      <formula>AND(ISNUMBER($I$17),$I$17&lt;0)</formula>
    </cfRule>
  </conditionalFormatting>
  <conditionalFormatting sqref="G18">
    <cfRule type="expression" priority="32" aboveAverage="0" equalAverage="0" bottom="0" percent="0" rank="0" text="" dxfId="0">
      <formula>AND(ISNUMBER($G$18),$G$18&lt;0)</formula>
    </cfRule>
  </conditionalFormatting>
  <conditionalFormatting sqref="H18">
    <cfRule type="expression" priority="33" aboveAverage="0" equalAverage="0" bottom="0" percent="0" rank="0" text="" dxfId="0">
      <formula>AND(ISNUMBER($H$18),$H$18&lt;0)</formula>
    </cfRule>
  </conditionalFormatting>
  <conditionalFormatting sqref="I18">
    <cfRule type="expression" priority="34" aboveAverage="0" equalAverage="0" bottom="0" percent="0" rank="0" text="" dxfId="0">
      <formula>AND(ISNUMBER($I$18),$I$18&lt;0)</formula>
    </cfRule>
  </conditionalFormatting>
  <conditionalFormatting sqref="G19">
    <cfRule type="expression" priority="35" aboveAverage="0" equalAverage="0" bottom="0" percent="0" rank="0" text="" dxfId="0">
      <formula>AND(ISNUMBER($G$19),$G$19&lt;0)</formula>
    </cfRule>
  </conditionalFormatting>
  <conditionalFormatting sqref="H19">
    <cfRule type="expression" priority="36" aboveAverage="0" equalAverage="0" bottom="0" percent="0" rank="0" text="" dxfId="0">
      <formula>AND(ISNUMBER($H$19),$H$19&lt;0)</formula>
    </cfRule>
  </conditionalFormatting>
  <conditionalFormatting sqref="I19">
    <cfRule type="expression" priority="37" aboveAverage="0" equalAverage="0" bottom="0" percent="0" rank="0" text="" dxfId="0">
      <formula>AND(ISNUMBER($I$19),$I$19&lt;0)</formula>
    </cfRule>
  </conditionalFormatting>
  <dataValidations count="1">
    <dataValidation allowBlank="true" error="Enter a number." errorStyle="stop" errorTitle="Value" operator="between" showDropDown="false" showErrorMessage="true" showInputMessage="false" sqref="C8:F19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51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107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108</v>
      </c>
      <c r="C7" s="6"/>
      <c r="D7" s="6"/>
      <c r="E7" s="6"/>
      <c r="F7" s="6"/>
    </row>
    <row r="8" customFormat="false" ht="30" hidden="false" customHeight="true" outlineLevel="0" collapsed="false">
      <c r="B8" s="7" t="s">
        <v>109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14</v>
      </c>
      <c r="C9" s="19" t="n">
        <v>500000</v>
      </c>
    </row>
    <row r="10" customFormat="false" ht="15" hidden="false" customHeight="false" outlineLevel="0" collapsed="false">
      <c r="B10" s="18" t="s">
        <v>16</v>
      </c>
      <c r="C10" s="19" t="n">
        <v>300000</v>
      </c>
    </row>
    <row r="11" customFormat="false" ht="15" hidden="false" customHeight="false" outlineLevel="0" collapsed="false">
      <c r="B11" s="18" t="s">
        <v>18</v>
      </c>
      <c r="C11" s="19" t="n">
        <v>120000</v>
      </c>
    </row>
    <row r="12" customFormat="false" ht="15" hidden="false" customHeight="false" outlineLevel="0" collapsed="false">
      <c r="B12" s="18" t="s">
        <v>20</v>
      </c>
      <c r="C12" s="19" t="n">
        <v>30000</v>
      </c>
    </row>
    <row r="13" customFormat="false" ht="15" hidden="false" customHeight="true" outlineLevel="0" collapsed="false">
      <c r="B13" s="47" t="s">
        <v>32</v>
      </c>
      <c r="C13" s="48" t="n">
        <f aca="false">(C9-C10)/C9</f>
        <v>0.4</v>
      </c>
      <c r="D13" s="20" t="s">
        <v>110</v>
      </c>
      <c r="E13" s="20"/>
      <c r="F13" s="20"/>
    </row>
    <row r="14" customFormat="false" ht="15" hidden="false" customHeight="true" outlineLevel="0" collapsed="false">
      <c r="B14" s="47" t="s">
        <v>34</v>
      </c>
      <c r="C14" s="48" t="n">
        <f aca="false">(C9-C10-C11)/C9</f>
        <v>0.16</v>
      </c>
      <c r="D14" s="20" t="s">
        <v>111</v>
      </c>
      <c r="E14" s="20"/>
      <c r="F14" s="20"/>
    </row>
    <row r="15" customFormat="false" ht="15" hidden="false" customHeight="true" outlineLevel="0" collapsed="false">
      <c r="B15" s="47" t="s">
        <v>36</v>
      </c>
      <c r="C15" s="48" t="n">
        <f aca="false">(C9-C10-C11-C12)/C9</f>
        <v>0.1</v>
      </c>
      <c r="D15" s="20" t="s">
        <v>112</v>
      </c>
      <c r="E15" s="20"/>
      <c r="F15" s="20"/>
    </row>
    <row r="16" customFormat="false" ht="15" hidden="false" customHeight="true" outlineLevel="0" collapsed="false">
      <c r="B16" s="47" t="s">
        <v>73</v>
      </c>
      <c r="C16" s="49" t="n">
        <f aca="false">C9-C10-C11-C12</f>
        <v>50000</v>
      </c>
      <c r="D16" s="20" t="s">
        <v>113</v>
      </c>
      <c r="E16" s="20"/>
      <c r="F16" s="20"/>
    </row>
    <row r="18" customFormat="false" ht="19.5" hidden="false" customHeight="true" outlineLevel="0" collapsed="false">
      <c r="B18" s="5" t="s">
        <v>114</v>
      </c>
      <c r="C18" s="6"/>
      <c r="D18" s="6"/>
      <c r="E18" s="6"/>
      <c r="F18" s="6"/>
    </row>
    <row r="19" customFormat="false" ht="30" hidden="false" customHeight="true" outlineLevel="0" collapsed="false">
      <c r="B19" s="7" t="s">
        <v>115</v>
      </c>
      <c r="C19" s="7"/>
      <c r="D19" s="7"/>
      <c r="E19" s="7"/>
      <c r="F19" s="7"/>
    </row>
    <row r="20" customFormat="false" ht="18" hidden="false" customHeight="true" outlineLevel="0" collapsed="false">
      <c r="B20" s="24"/>
      <c r="C20" s="25" t="s">
        <v>116</v>
      </c>
      <c r="D20" s="25" t="s">
        <v>117</v>
      </c>
      <c r="E20" s="25"/>
      <c r="F20" s="25"/>
    </row>
    <row r="21" customFormat="false" ht="15" hidden="false" customHeight="false" outlineLevel="0" collapsed="false">
      <c r="B21" s="18" t="s">
        <v>14</v>
      </c>
      <c r="C21" s="19" t="n">
        <v>500000</v>
      </c>
      <c r="D21" s="19" t="n">
        <v>500000</v>
      </c>
    </row>
    <row r="22" customFormat="false" ht="15" hidden="false" customHeight="false" outlineLevel="0" collapsed="false">
      <c r="B22" s="18" t="s">
        <v>32</v>
      </c>
      <c r="C22" s="50" t="n">
        <v>0.6</v>
      </c>
      <c r="D22" s="50" t="n">
        <v>0.25</v>
      </c>
    </row>
    <row r="23" customFormat="false" ht="15" hidden="false" customHeight="false" outlineLevel="0" collapsed="false">
      <c r="B23" s="18" t="s">
        <v>118</v>
      </c>
      <c r="C23" s="19" t="n">
        <v>250000</v>
      </c>
      <c r="D23" s="19" t="n">
        <v>75000</v>
      </c>
    </row>
    <row r="24" customFormat="false" ht="15" hidden="false" customHeight="false" outlineLevel="0" collapsed="false">
      <c r="B24" s="47" t="s">
        <v>72</v>
      </c>
      <c r="C24" s="28" t="n">
        <f aca="false">C21*C22</f>
        <v>300000</v>
      </c>
      <c r="D24" s="28" t="n">
        <f aca="false">D21*D22</f>
        <v>125000</v>
      </c>
    </row>
    <row r="25" customFormat="false" ht="15" hidden="false" customHeight="true" outlineLevel="0" collapsed="false">
      <c r="B25" s="47" t="s">
        <v>34</v>
      </c>
      <c r="C25" s="48" t="n">
        <f aca="false">(C24-C23)/C21</f>
        <v>0.1</v>
      </c>
      <c r="D25" s="48" t="n">
        <f aca="false">(D24-D23)/D21</f>
        <v>0.1</v>
      </c>
      <c r="E25" s="20" t="s">
        <v>119</v>
      </c>
      <c r="F25" s="20"/>
    </row>
    <row r="27" customFormat="false" ht="19.5" hidden="false" customHeight="true" outlineLevel="0" collapsed="false">
      <c r="B27" s="5" t="s">
        <v>120</v>
      </c>
      <c r="C27" s="6"/>
      <c r="D27" s="6"/>
      <c r="E27" s="6"/>
      <c r="F27" s="6"/>
    </row>
    <row r="28" customFormat="false" ht="30" hidden="false" customHeight="true" outlineLevel="0" collapsed="false">
      <c r="B28" s="7" t="s">
        <v>121</v>
      </c>
      <c r="C28" s="7"/>
      <c r="D28" s="7"/>
      <c r="E28" s="7"/>
      <c r="F28" s="7"/>
    </row>
    <row r="29" customFormat="false" ht="18" hidden="false" customHeight="true" outlineLevel="0" collapsed="false">
      <c r="B29" s="24"/>
      <c r="C29" s="25" t="s">
        <v>122</v>
      </c>
      <c r="D29" s="25" t="s">
        <v>123</v>
      </c>
      <c r="E29" s="25"/>
      <c r="F29" s="25"/>
    </row>
    <row r="30" customFormat="false" ht="15" hidden="false" customHeight="false" outlineLevel="0" collapsed="false">
      <c r="B30" s="18" t="s">
        <v>14</v>
      </c>
      <c r="C30" s="19" t="n">
        <v>500000</v>
      </c>
      <c r="D30" s="19" t="n">
        <v>500000</v>
      </c>
    </row>
    <row r="31" customFormat="false" ht="15" hidden="false" customHeight="false" outlineLevel="0" collapsed="false">
      <c r="B31" s="18" t="s">
        <v>71</v>
      </c>
      <c r="C31" s="19" t="n">
        <v>80000</v>
      </c>
      <c r="D31" s="19" t="n">
        <v>80000</v>
      </c>
    </row>
    <row r="32" customFormat="false" ht="15" hidden="false" customHeight="false" outlineLevel="0" collapsed="false">
      <c r="B32" s="18" t="s">
        <v>124</v>
      </c>
      <c r="C32" s="19" t="n">
        <v>5000</v>
      </c>
      <c r="D32" s="19" t="n">
        <v>45000</v>
      </c>
    </row>
    <row r="33" customFormat="false" ht="15" hidden="false" customHeight="false" outlineLevel="0" collapsed="false">
      <c r="B33" s="18" t="s">
        <v>125</v>
      </c>
      <c r="C33" s="50" t="n">
        <v>0.3</v>
      </c>
      <c r="D33" s="50" t="n">
        <v>0.3</v>
      </c>
    </row>
    <row r="34" customFormat="false" ht="15" hidden="false" customHeight="false" outlineLevel="0" collapsed="false">
      <c r="B34" s="47" t="s">
        <v>126</v>
      </c>
      <c r="C34" s="51" t="n">
        <f aca="false">C31-C32</f>
        <v>75000</v>
      </c>
      <c r="D34" s="51" t="n">
        <f aca="false">D31-D32</f>
        <v>35000</v>
      </c>
    </row>
    <row r="35" customFormat="false" ht="15" hidden="false" customHeight="false" outlineLevel="0" collapsed="false">
      <c r="B35" s="47" t="s">
        <v>127</v>
      </c>
      <c r="C35" s="51" t="n">
        <f aca="false">C34*C33</f>
        <v>22500</v>
      </c>
      <c r="D35" s="51" t="n">
        <f aca="false">D34*D33</f>
        <v>10500</v>
      </c>
    </row>
    <row r="36" customFormat="false" ht="15" hidden="false" customHeight="false" outlineLevel="0" collapsed="false">
      <c r="B36" s="47" t="s">
        <v>73</v>
      </c>
      <c r="C36" s="49" t="n">
        <f aca="false">C34-C35</f>
        <v>52500</v>
      </c>
      <c r="D36" s="49" t="n">
        <f aca="false">D34-D35</f>
        <v>24500</v>
      </c>
    </row>
    <row r="37" customFormat="false" ht="15" hidden="false" customHeight="true" outlineLevel="0" collapsed="false">
      <c r="B37" s="47" t="s">
        <v>36</v>
      </c>
      <c r="C37" s="48" t="n">
        <f aca="false">C36/C30</f>
        <v>0.105</v>
      </c>
      <c r="D37" s="48" t="n">
        <f aca="false">D36/D30</f>
        <v>0.049</v>
      </c>
      <c r="E37" s="20" t="s">
        <v>128</v>
      </c>
      <c r="F37" s="20"/>
    </row>
    <row r="39" customFormat="false" ht="15" hidden="false" customHeight="true" outlineLevel="0" collapsed="false">
      <c r="B39" s="15" t="s">
        <v>129</v>
      </c>
      <c r="C39" s="15"/>
      <c r="D39" s="15"/>
      <c r="E39" s="15"/>
      <c r="F39" s="15"/>
    </row>
  </sheetData>
  <mergeCells count="10">
    <mergeCell ref="B8:F8"/>
    <mergeCell ref="D13:F13"/>
    <mergeCell ref="D14:F14"/>
    <mergeCell ref="D15:F15"/>
    <mergeCell ref="D16:F16"/>
    <mergeCell ref="B19:F19"/>
    <mergeCell ref="E25:F25"/>
    <mergeCell ref="B28:F28"/>
    <mergeCell ref="E37:F37"/>
    <mergeCell ref="B39:F39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53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130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131</v>
      </c>
      <c r="C7" s="6"/>
      <c r="D7" s="6"/>
    </row>
    <row r="8" customFormat="false" ht="19.5" hidden="false" customHeight="true" outlineLevel="0" collapsed="false">
      <c r="B8" s="24" t="s">
        <v>132</v>
      </c>
      <c r="C8" s="25" t="s">
        <v>133</v>
      </c>
      <c r="D8" s="25" t="s">
        <v>134</v>
      </c>
    </row>
    <row r="9" customFormat="false" ht="30" hidden="false" customHeight="true" outlineLevel="0" collapsed="false">
      <c r="B9" s="52" t="s">
        <v>32</v>
      </c>
      <c r="C9" s="53" t="s">
        <v>135</v>
      </c>
      <c r="D9" s="54" t="s">
        <v>136</v>
      </c>
    </row>
    <row r="10" customFormat="false" ht="30" hidden="false" customHeight="true" outlineLevel="0" collapsed="false">
      <c r="B10" s="52" t="s">
        <v>34</v>
      </c>
      <c r="C10" s="53" t="s">
        <v>137</v>
      </c>
      <c r="D10" s="54" t="s">
        <v>138</v>
      </c>
    </row>
    <row r="11" customFormat="false" ht="30" hidden="false" customHeight="true" outlineLevel="0" collapsed="false">
      <c r="B11" s="52" t="s">
        <v>36</v>
      </c>
      <c r="C11" s="53" t="s">
        <v>139</v>
      </c>
      <c r="D11" s="54" t="s">
        <v>140</v>
      </c>
    </row>
    <row r="12" customFormat="false" ht="30" hidden="false" customHeight="true" outlineLevel="0" collapsed="false">
      <c r="B12" s="52" t="s">
        <v>73</v>
      </c>
      <c r="C12" s="53" t="s">
        <v>141</v>
      </c>
      <c r="D12" s="54" t="s">
        <v>142</v>
      </c>
    </row>
    <row r="14" customFormat="false" ht="19.5" hidden="false" customHeight="true" outlineLevel="0" collapsed="false">
      <c r="B14" s="5" t="s">
        <v>143</v>
      </c>
      <c r="C14" s="6"/>
      <c r="D14" s="6"/>
    </row>
    <row r="15" customFormat="false" ht="18" hidden="false" customHeight="true" outlineLevel="0" collapsed="false">
      <c r="B15" s="7" t="s">
        <v>144</v>
      </c>
      <c r="C15" s="7"/>
      <c r="D15" s="7"/>
    </row>
    <row r="16" customFormat="false" ht="18" hidden="false" customHeight="true" outlineLevel="0" collapsed="false">
      <c r="B16" s="7" t="s">
        <v>145</v>
      </c>
      <c r="C16" s="7"/>
      <c r="D16" s="7"/>
    </row>
    <row r="17" customFormat="false" ht="18" hidden="false" customHeight="true" outlineLevel="0" collapsed="false">
      <c r="B17" s="7" t="s">
        <v>146</v>
      </c>
      <c r="C17" s="7"/>
      <c r="D17" s="7"/>
    </row>
    <row r="18" customFormat="false" ht="18" hidden="false" customHeight="true" outlineLevel="0" collapsed="false">
      <c r="B18" s="7" t="s">
        <v>147</v>
      </c>
      <c r="C18" s="7"/>
      <c r="D18" s="7"/>
    </row>
    <row r="20" customFormat="false" ht="19.5" hidden="false" customHeight="true" outlineLevel="0" collapsed="false">
      <c r="B20" s="5" t="s">
        <v>148</v>
      </c>
      <c r="C20" s="6"/>
      <c r="D20" s="6"/>
    </row>
    <row r="21" customFormat="false" ht="18" hidden="false" customHeight="true" outlineLevel="0" collapsed="false">
      <c r="B21" s="8" t="s">
        <v>149</v>
      </c>
      <c r="C21" s="7" t="s">
        <v>150</v>
      </c>
      <c r="D21" s="7"/>
    </row>
    <row r="22" customFormat="false" ht="18" hidden="false" customHeight="true" outlineLevel="0" collapsed="false">
      <c r="B22" s="8" t="s">
        <v>151</v>
      </c>
      <c r="C22" s="55" t="s">
        <v>152</v>
      </c>
      <c r="D22" s="55"/>
    </row>
    <row r="23" customFormat="false" ht="18" hidden="false" customHeight="true" outlineLevel="0" collapsed="false">
      <c r="B23" s="8" t="s">
        <v>153</v>
      </c>
      <c r="C23" s="55" t="s">
        <v>154</v>
      </c>
      <c r="D23" s="55"/>
    </row>
    <row r="24" customFormat="false" ht="18" hidden="false" customHeight="true" outlineLevel="0" collapsed="false">
      <c r="B24" s="8" t="s">
        <v>155</v>
      </c>
      <c r="C24" s="55" t="s">
        <v>156</v>
      </c>
      <c r="D24" s="55"/>
    </row>
    <row r="26" customFormat="false" ht="19.5" hidden="false" customHeight="true" outlineLevel="0" collapsed="false">
      <c r="B26" s="5" t="s">
        <v>157</v>
      </c>
      <c r="C26" s="6"/>
      <c r="D26" s="6"/>
    </row>
    <row r="27" customFormat="false" ht="15" hidden="false" customHeight="false" outlineLevel="0" collapsed="false">
      <c r="B27" s="56" t="s">
        <v>14</v>
      </c>
      <c r="C27" s="18" t="s">
        <v>158</v>
      </c>
    </row>
    <row r="28" customFormat="false" ht="15" hidden="false" customHeight="false" outlineLevel="0" collapsed="false">
      <c r="B28" s="56" t="s">
        <v>159</v>
      </c>
      <c r="C28" s="18" t="s">
        <v>160</v>
      </c>
    </row>
    <row r="29" customFormat="false" ht="15" hidden="false" customHeight="false" outlineLevel="0" collapsed="false">
      <c r="B29" s="56" t="s">
        <v>161</v>
      </c>
      <c r="C29" s="18" t="s">
        <v>162</v>
      </c>
    </row>
    <row r="30" customFormat="false" ht="15" hidden="false" customHeight="false" outlineLevel="0" collapsed="false">
      <c r="B30" s="56" t="s">
        <v>163</v>
      </c>
      <c r="C30" s="18" t="s">
        <v>164</v>
      </c>
    </row>
    <row r="31" customFormat="false" ht="15" hidden="false" customHeight="false" outlineLevel="0" collapsed="false">
      <c r="B31" s="56" t="s">
        <v>165</v>
      </c>
      <c r="C31" s="18" t="s">
        <v>166</v>
      </c>
    </row>
    <row r="32" customFormat="false" ht="15" hidden="false" customHeight="false" outlineLevel="0" collapsed="false">
      <c r="B32" s="56" t="s">
        <v>167</v>
      </c>
      <c r="C32" s="18" t="s">
        <v>168</v>
      </c>
    </row>
    <row r="33" customFormat="false" ht="15" hidden="false" customHeight="false" outlineLevel="0" collapsed="false">
      <c r="B33" s="56" t="s">
        <v>169</v>
      </c>
      <c r="C33" s="18" t="s">
        <v>170</v>
      </c>
    </row>
    <row r="34" customFormat="false" ht="15" hidden="false" customHeight="false" outlineLevel="0" collapsed="false">
      <c r="B34" s="56" t="s">
        <v>171</v>
      </c>
      <c r="C34" s="18" t="s">
        <v>172</v>
      </c>
    </row>
    <row r="35" customFormat="false" ht="15" hidden="false" customHeight="false" outlineLevel="0" collapsed="false">
      <c r="B35" s="56" t="s">
        <v>173</v>
      </c>
      <c r="C35" s="18" t="s">
        <v>174</v>
      </c>
    </row>
  </sheetData>
  <mergeCells count="8">
    <mergeCell ref="B15:D15"/>
    <mergeCell ref="B16:D16"/>
    <mergeCell ref="B17:D17"/>
    <mergeCell ref="B18:D18"/>
    <mergeCell ref="C21:D21"/>
    <mergeCell ref="C22:D22"/>
    <mergeCell ref="C23:D23"/>
    <mergeCell ref="C24:D24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55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175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24" t="s">
        <v>176</v>
      </c>
      <c r="C7" s="25" t="s">
        <v>177</v>
      </c>
      <c r="D7" s="25" t="s">
        <v>178</v>
      </c>
      <c r="E7" s="25" t="s">
        <v>132</v>
      </c>
    </row>
    <row r="8" customFormat="false" ht="15" hidden="false" customHeight="false" outlineLevel="0" collapsed="false">
      <c r="B8" s="57" t="s">
        <v>179</v>
      </c>
      <c r="C8" s="58" t="n">
        <f aca="false">'Worked Examples'!C13</f>
        <v>0.4</v>
      </c>
      <c r="D8" s="59" t="n">
        <v>0.4</v>
      </c>
      <c r="E8" s="60" t="str">
        <f aca="false">IF(ISNUMBER(C8),IF(ROUND(C8,4)=ROUND(D8,4),"PASS","FAIL"),"FAIL")</f>
        <v>PASS</v>
      </c>
    </row>
    <row r="9" customFormat="false" ht="15" hidden="false" customHeight="false" outlineLevel="0" collapsed="false">
      <c r="B9" s="57" t="s">
        <v>180</v>
      </c>
      <c r="C9" s="58" t="n">
        <f aca="false">'Worked Examples'!C14</f>
        <v>0.16</v>
      </c>
      <c r="D9" s="59" t="n">
        <v>0.16</v>
      </c>
      <c r="E9" s="60" t="str">
        <f aca="false">IF(ISNUMBER(C9),IF(ROUND(C9,4)=ROUND(D9,4),"PASS","FAIL"),"FAIL")</f>
        <v>PASS</v>
      </c>
    </row>
    <row r="10" customFormat="false" ht="15" hidden="false" customHeight="false" outlineLevel="0" collapsed="false">
      <c r="B10" s="57" t="s">
        <v>181</v>
      </c>
      <c r="C10" s="58" t="n">
        <f aca="false">'Worked Examples'!C15</f>
        <v>0.1</v>
      </c>
      <c r="D10" s="59" t="n">
        <v>0.1</v>
      </c>
      <c r="E10" s="60" t="str">
        <f aca="false">IF(ISNUMBER(C10),IF(ROUND(C10,4)=ROUND(D10,4),"PASS","FAIL"),"FAIL")</f>
        <v>PASS</v>
      </c>
    </row>
    <row r="11" customFormat="false" ht="15" hidden="false" customHeight="false" outlineLevel="0" collapsed="false">
      <c r="B11" s="57" t="s">
        <v>182</v>
      </c>
      <c r="C11" s="61" t="n">
        <f aca="false">'Worked Examples'!C16</f>
        <v>50000</v>
      </c>
      <c r="D11" s="62" t="n">
        <v>50000</v>
      </c>
      <c r="E11" s="60" t="str">
        <f aca="false">IF(ISNUMBER(C11),IF(ROUND(C11,2)=ROUND(D11,2),"PASS","FAIL"),"FAIL")</f>
        <v>PASS</v>
      </c>
    </row>
    <row r="12" customFormat="false" ht="15" hidden="false" customHeight="false" outlineLevel="0" collapsed="false">
      <c r="B12" s="57" t="s">
        <v>183</v>
      </c>
      <c r="C12" s="58" t="n">
        <f aca="false">'Worked Examples'!C25</f>
        <v>0.1</v>
      </c>
      <c r="D12" s="59" t="n">
        <v>0.1</v>
      </c>
      <c r="E12" s="60" t="str">
        <f aca="false">IF(ISNUMBER(C12),IF(ROUND(C12,4)=ROUND(D12,4),"PASS","FAIL"),"FAIL")</f>
        <v>PASS</v>
      </c>
    </row>
    <row r="13" customFormat="false" ht="15" hidden="false" customHeight="false" outlineLevel="0" collapsed="false">
      <c r="B13" s="57" t="s">
        <v>184</v>
      </c>
      <c r="C13" s="58" t="n">
        <f aca="false">'Worked Examples'!D25</f>
        <v>0.1</v>
      </c>
      <c r="D13" s="59" t="n">
        <v>0.1</v>
      </c>
      <c r="E13" s="60" t="str">
        <f aca="false">IF(ISNUMBER(C13),IF(ROUND(C13,4)=ROUND(D13,4),"PASS","FAIL"),"FAIL")</f>
        <v>PASS</v>
      </c>
    </row>
    <row r="14" customFormat="false" ht="15" hidden="false" customHeight="false" outlineLevel="0" collapsed="false">
      <c r="B14" s="57" t="s">
        <v>185</v>
      </c>
      <c r="C14" s="61" t="n">
        <f aca="false">'Worked Examples'!C36</f>
        <v>52500</v>
      </c>
      <c r="D14" s="62" t="n">
        <v>52500</v>
      </c>
      <c r="E14" s="60" t="str">
        <f aca="false">IF(ISNUMBER(C14),IF(ROUND(C14,2)=ROUND(D14,2),"PASS","FAIL"),"FAIL")</f>
        <v>PASS</v>
      </c>
    </row>
    <row r="15" customFormat="false" ht="15" hidden="false" customHeight="false" outlineLevel="0" collapsed="false">
      <c r="B15" s="57" t="s">
        <v>186</v>
      </c>
      <c r="C15" s="58" t="n">
        <f aca="false">'Worked Examples'!C37</f>
        <v>0.105</v>
      </c>
      <c r="D15" s="59" t="n">
        <v>0.105</v>
      </c>
      <c r="E15" s="60" t="str">
        <f aca="false">IF(ISNUMBER(C15),IF(ROUND(C15,4)=ROUND(D15,4),"PASS","FAIL"),"FAIL")</f>
        <v>PASS</v>
      </c>
    </row>
    <row r="16" customFormat="false" ht="15" hidden="false" customHeight="false" outlineLevel="0" collapsed="false">
      <c r="B16" s="57" t="s">
        <v>187</v>
      </c>
      <c r="C16" s="61" t="n">
        <f aca="false">'Worked Examples'!D36</f>
        <v>24500</v>
      </c>
      <c r="D16" s="62" t="n">
        <v>24500</v>
      </c>
      <c r="E16" s="60" t="str">
        <f aca="false">IF(ISNUMBER(C16),IF(ROUND(C16,2)=ROUND(D16,2),"PASS","FAIL"),"FAIL")</f>
        <v>PASS</v>
      </c>
    </row>
    <row r="17" customFormat="false" ht="15" hidden="false" customHeight="false" outlineLevel="0" collapsed="false">
      <c r="B17" s="57" t="s">
        <v>188</v>
      </c>
      <c r="C17" s="58" t="n">
        <f aca="false">'Worked Examples'!D37</f>
        <v>0.049</v>
      </c>
      <c r="D17" s="59" t="n">
        <v>0.049</v>
      </c>
      <c r="E17" s="60" t="str">
        <f aca="false">IF(ISNUMBER(C17),IF(ROUND(C17,4)=ROUND(D17,4),"PASS","FAIL"),"FAIL")</f>
        <v>PASS</v>
      </c>
    </row>
    <row r="18" customFormat="false" ht="15.75" hidden="false" customHeight="true" outlineLevel="0" collapsed="false">
      <c r="B18" s="57" t="s">
        <v>189</v>
      </c>
      <c r="C18" s="63"/>
      <c r="D18" s="63"/>
      <c r="E18" s="60" t="str">
        <f aca="false">IF(ISNUMBER(Net_Margin),IF(ABS(Net_Margin*Revenue-Net_Profit)&lt;0.000001*MAX(1,ABS(Revenue)),"PASS","FAIL"),"N/A")</f>
        <v>PASS</v>
      </c>
    </row>
    <row r="19" customFormat="false" ht="15.75" hidden="false" customHeight="true" outlineLevel="0" collapsed="false">
      <c r="B19" s="57" t="s">
        <v>190</v>
      </c>
      <c r="C19" s="63"/>
      <c r="D19" s="63"/>
      <c r="E19" s="60" t="str">
        <f aca="false">IF(ISNUMBER(Gross_Margin),IF(ABS(Gross_Margin-Operating_Margin-N(Opex)/Revenue)&lt;0.000000001,"PASS","FAIL"),"N/A")</f>
        <v>PASS</v>
      </c>
    </row>
    <row r="20" customFormat="false" ht="27.75" hidden="false" customHeight="true" outlineLevel="0" collapsed="false">
      <c r="B20" s="57" t="s">
        <v>191</v>
      </c>
      <c r="C20" s="63"/>
      <c r="D20" s="63"/>
      <c r="E20" s="60" t="str">
        <f aca="false">IF(ISNUMBER(Net_Profit),IF(ABS('Profit Margin Calculator'!C21-Net_Profit)&lt;0.000001*MAX(1,ABS(Revenue)),"PASS","FAIL"),"N/A")</f>
        <v>PASS</v>
      </c>
    </row>
    <row r="21" customFormat="false" ht="15.75" hidden="false" customHeight="true" outlineLevel="0" collapsed="false">
      <c r="B21" s="57" t="s">
        <v>192</v>
      </c>
      <c r="C21" s="63"/>
      <c r="D21" s="63"/>
      <c r="E21" s="60" t="str">
        <f aca="false">IF(ISNUMBER(Net_Profit),IF(ABS('Profit Margin Calculator'!D16+'Profit Margin Calculator'!D18+'Profit Margin Calculator'!D20+'Profit Margin Calculator'!D21-100)&lt;0.0000001,"PASS","FAIL"),"N/A")</f>
        <v>PASS</v>
      </c>
    </row>
    <row r="22" customFormat="false" ht="27.75" hidden="false" customHeight="true" outlineLevel="0" collapsed="false">
      <c r="B22" s="57" t="s">
        <v>193</v>
      </c>
      <c r="C22" s="63"/>
      <c r="D22" s="63"/>
      <c r="E22" s="60" t="str">
        <f aca="false">IF(ISNUMBER(Trend_Net),IF(ABS(Trend_Net*'Monthly Trend'!C20-('Monthly Trend'!C20-'Monthly Trend'!D20-'Monthly Trend'!E20-'Monthly Trend'!F20))&lt;0.001,"PASS","FAIL"),"N/A")</f>
        <v>PASS</v>
      </c>
    </row>
    <row r="24" customFormat="false" ht="15" hidden="false" customHeight="false" outlineLevel="0" collapsed="false">
      <c r="B24" s="64" t="s">
        <v>194</v>
      </c>
      <c r="E24" s="65" t="str">
        <f aca="false">IF(AND(COUNTIF(E8:E22,"FAIL")=0,SUMPRODUCT(--ISERROR(C8:E22))=0),"ALL PASS","REVIEW")</f>
        <v>ALL PASS</v>
      </c>
    </row>
    <row r="26" customFormat="false" ht="43.5" hidden="false" customHeight="true" outlineLevel="0" collapsed="false">
      <c r="B26" s="20" t="s">
        <v>195</v>
      </c>
      <c r="C26" s="20"/>
      <c r="D26" s="20"/>
      <c r="E26" s="20"/>
    </row>
  </sheetData>
  <mergeCells count="1">
    <mergeCell ref="B26:E26"/>
  </mergeCells>
  <conditionalFormatting sqref="E8">
    <cfRule type="expression" priority="2" aboveAverage="0" equalAverage="0" bottom="0" percent="0" rank="0" text="" dxfId="6">
      <formula>E8="FAIL"</formula>
    </cfRule>
  </conditionalFormatting>
  <conditionalFormatting sqref="E9">
    <cfRule type="expression" priority="3" aboveAverage="0" equalAverage="0" bottom="0" percent="0" rank="0" text="" dxfId="6">
      <formula>E9="FAIL"</formula>
    </cfRule>
  </conditionalFormatting>
  <conditionalFormatting sqref="E10">
    <cfRule type="expression" priority="4" aboveAverage="0" equalAverage="0" bottom="0" percent="0" rank="0" text="" dxfId="6">
      <formula>E10="FAIL"</formula>
    </cfRule>
  </conditionalFormatting>
  <conditionalFormatting sqref="E11">
    <cfRule type="expression" priority="5" aboveAverage="0" equalAverage="0" bottom="0" percent="0" rank="0" text="" dxfId="6">
      <formula>E11="FAIL"</formula>
    </cfRule>
  </conditionalFormatting>
  <conditionalFormatting sqref="E12">
    <cfRule type="expression" priority="6" aboveAverage="0" equalAverage="0" bottom="0" percent="0" rank="0" text="" dxfId="6">
      <formula>E12="FAIL"</formula>
    </cfRule>
  </conditionalFormatting>
  <conditionalFormatting sqref="E13">
    <cfRule type="expression" priority="7" aboveAverage="0" equalAverage="0" bottom="0" percent="0" rank="0" text="" dxfId="6">
      <formula>E13="FAIL"</formula>
    </cfRule>
  </conditionalFormatting>
  <conditionalFormatting sqref="E14">
    <cfRule type="expression" priority="8" aboveAverage="0" equalAverage="0" bottom="0" percent="0" rank="0" text="" dxfId="6">
      <formula>E14="FAIL"</formula>
    </cfRule>
  </conditionalFormatting>
  <conditionalFormatting sqref="E15">
    <cfRule type="expression" priority="9" aboveAverage="0" equalAverage="0" bottom="0" percent="0" rank="0" text="" dxfId="6">
      <formula>E15="FAIL"</formula>
    </cfRule>
  </conditionalFormatting>
  <conditionalFormatting sqref="E16">
    <cfRule type="expression" priority="10" aboveAverage="0" equalAverage="0" bottom="0" percent="0" rank="0" text="" dxfId="6">
      <formula>E16="FAIL"</formula>
    </cfRule>
  </conditionalFormatting>
  <conditionalFormatting sqref="E17">
    <cfRule type="expression" priority="11" aboveAverage="0" equalAverage="0" bottom="0" percent="0" rank="0" text="" dxfId="6">
      <formula>E17="FAIL"</formula>
    </cfRule>
  </conditionalFormatting>
  <conditionalFormatting sqref="E18">
    <cfRule type="expression" priority="12" aboveAverage="0" equalAverage="0" bottom="0" percent="0" rank="0" text="" dxfId="6">
      <formula>E18="FAIL"</formula>
    </cfRule>
  </conditionalFormatting>
  <conditionalFormatting sqref="E19">
    <cfRule type="expression" priority="13" aboveAverage="0" equalAverage="0" bottom="0" percent="0" rank="0" text="" dxfId="6">
      <formula>E19="FAIL"</formula>
    </cfRule>
  </conditionalFormatting>
  <conditionalFormatting sqref="E20">
    <cfRule type="expression" priority="14" aboveAverage="0" equalAverage="0" bottom="0" percent="0" rank="0" text="" dxfId="6">
      <formula>E20="FAIL"</formula>
    </cfRule>
  </conditionalFormatting>
  <conditionalFormatting sqref="E21">
    <cfRule type="expression" priority="15" aboveAverage="0" equalAverage="0" bottom="0" percent="0" rank="0" text="" dxfId="6">
      <formula>E21="FAIL"</formula>
    </cfRule>
  </conditionalFormatting>
  <conditionalFormatting sqref="E22">
    <cfRule type="expression" priority="16" aboveAverage="0" equalAverage="0" bottom="0" percent="0" rank="0" text="" dxfId="6">
      <formula>E22="FAIL"</formula>
    </cfRule>
  </conditionalFormatting>
  <conditionalFormatting sqref="E24">
    <cfRule type="expression" priority="17" aboveAverage="0" equalAverage="0" bottom="0" percent="0" rank="0" text="" dxfId="7">
      <formula>E24="REVIEW"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2026-09-30T05:25:26Z</dcterms:created>
  <dc:creator>BabaDigit</dc:creator>
  <dc:description/>
  <cp:keywords>profit margin calculator net margin operating margin gross margin Excel</cp:keywords>
  <dc:language>en-US</dc:language>
  <cp:lastModifiedBy/>
  <dcterms:modified xsi:type="dcterms:W3CDTF">2026-09-30T09:26:37Z</dcterms:modified>
  <cp:revision>1</cp:revision>
  <dc:subject>Gross, operating and net profit margin calculator</dc:subject>
  <dc:title>BabaDigit Profit Margin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