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Working Capital Calculator" sheetId="2" state="visible" r:id="rId4"/>
    <sheet name="Growth Cash Need" sheetId="3" state="visible" r:id="rId5"/>
    <sheet name="Monthly Trend" sheetId="4" state="visible" r:id="rId6"/>
    <sheet name="Worked Examples" sheetId="5" state="visible" r:id="rId7"/>
    <sheet name="Formula Guide" sheetId="6" state="visible" r:id="rId8"/>
    <sheet name="Checks" sheetId="7" state="visible" r:id="rId9"/>
  </sheets>
  <definedNames>
    <definedName function="false" hidden="false" name="Checks_Status" vbProcedure="false">Checks!$E$20</definedName>
    <definedName function="false" hidden="false" name="Coverage" vbProcedure="false">'Working Capital Calculator'!$I$16</definedName>
    <definedName function="false" hidden="false" name="Current_Assets" vbProcedure="false">'Working Capital Calculator'!$D$8</definedName>
    <definedName function="false" hidden="false" name="Current_Liab" vbProcedure="false">'Working Capital Calculator'!$D$10</definedName>
    <definedName function="false" hidden="false" name="Current_Ratio" vbProcedure="false">'Working Capital Calculator'!$I$14</definedName>
    <definedName function="false" hidden="false" name="G_Extra" vbProcedure="false">'Growth Cash Need'!$C$15</definedName>
    <definedName function="false" hidden="false" name="G_Needed" vbProcedure="false">'Growth Cash Need'!$C$14</definedName>
    <definedName function="false" hidden="false" name="G_NewRev" vbProcedure="false">'Growth Cash Need'!$C$10</definedName>
    <definedName function="false" hidden="false" name="G_Pct" vbProcedure="false">'Growth Cash Need'!$C$13</definedName>
    <definedName function="false" hidden="false" name="G_Rev" vbProcedure="false">'Growth Cash Need'!$C$8</definedName>
    <definedName function="false" hidden="false" name="Inventory" vbProcedure="false">'Working Capital Calculator'!$D$12</definedName>
    <definedName function="false" hidden="false" name="Quick_Ratio" vbProcedure="false">'Working Capital Calculator'!$I$15</definedName>
    <definedName function="false" hidden="false" name="T_Last" vbProcedure="false">'Monthly Trend'!$F$22</definedName>
    <definedName function="false" hidden="false" name="WC_Result" vbProcedure="false">'Working Capital Calculator'!$H$11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Example from the online calculator — replace with your own.</t>
        </r>
      </text>
    </comment>
  </commentList>
</comments>
</file>

<file path=xl/sharedStrings.xml><?xml version="1.0" encoding="utf-8"?>
<sst xmlns="http://schemas.openxmlformats.org/spreadsheetml/2006/main" count="231" uniqueCount="186">
  <si>
    <t xml:space="preserve">Working Capital Calculator — Excel Workbook</t>
  </si>
  <si>
    <t xml:space="preserve">BabaDigit free resource · babadigit.com/working-capital-calculator</t>
  </si>
  <si>
    <t xml:space="preserve">What this workbook does</t>
  </si>
  <si>
    <t xml:space="preserve">Working capital is current assets minus current liabilities: the cushion between the money coming in and the bills falling due. This workbook calculates working capital, the current ratio, the quick ratio and liabilities covered — using the same method as the free Working Capital Calculator on babadigit.com — then shows how much cash growth will tie up and tracks liquidity month by month.</t>
  </si>
  <si>
    <t xml:space="preserve">How to use it</t>
  </si>
  <si>
    <t xml:space="preserve">1. Open 'Working Capital Calculator'</t>
  </si>
  <si>
    <t xml:space="preserve">Enter current assets, current liabilities and (optionally) inventory.</t>
  </si>
  <si>
    <t xml:space="preserve">2. Read the result</t>
  </si>
  <si>
    <t xml:space="preserve">The navy panel shows working capital, the current ratio, the quick ratio and liabilities covered.</t>
  </si>
  <si>
    <t xml:space="preserve">3. Plan for growth</t>
  </si>
  <si>
    <t xml:space="preserve">'Growth Cash Need' shows the extra working capital a higher revenue level will tie up.</t>
  </si>
  <si>
    <t xml:space="preserve">4. Watch the trend</t>
  </si>
  <si>
    <t xml:space="preserve">'Monthly Trend' charts working capital and both ratios over twelve months.</t>
  </si>
  <si>
    <t xml:space="preserve">Inputs explained</t>
  </si>
  <si>
    <t xml:space="preserve">Current assets</t>
  </si>
  <si>
    <t xml:space="preserve">Cash, receivables, inventory and prepayments due within a year. Blank counts as zero.</t>
  </si>
  <si>
    <t xml:space="preserve">Current liabilities</t>
  </si>
  <si>
    <t xml:space="preserve">Payables, tax due, accruals, overdraft and loan repayments due within a year. Must be above zero for the ratios.</t>
  </si>
  <si>
    <t xml:space="preserve">Inventory</t>
  </si>
  <si>
    <t xml:space="preserve">Optional. Removed from current assets for the quick ratio. Blank counts as zero.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</si>
  <si>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</si>
  <si>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</si>
  <si>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</si>
  <si>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</si>
  <si>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</si>
  <si>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</si>
  <si>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</si>
  <si>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</si>
  <si>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</si>
  <si>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interpret the results</t>
  </si>
  <si>
    <t xml:space="preserve">Working capital</t>
  </si>
  <si>
    <t xml:space="preserve">Positive: short-term assets exceed short-term obligations. Negative: the reverse.</t>
  </si>
  <si>
    <t xml:space="preserve">Current ratio</t>
  </si>
  <si>
    <t xml:space="preserve">Roughly 1.5–2.0 suits most trading businesses; below 1.0 is a warning; well above 3.0 often means idle capital.</t>
  </si>
  <si>
    <t xml:space="preserve">Quick ratio</t>
  </si>
  <si>
    <t xml:space="preserve">What is left if stock cannot be sold quickly. For stock-heavy businesses this is the honest figure.</t>
  </si>
  <si>
    <t xml:space="preserve">Negative working capital</t>
  </si>
  <si>
    <t xml:space="preserve">Normal for businesses paid before they pay suppliers (supermarkets, subscriptions); a warning for everyone else.</t>
  </si>
  <si>
    <t xml:space="preserve">Limitations and assumptions</t>
  </si>
  <si>
    <t xml:space="preserve">•  The balance sheet is one day’s photograph — track the trend across several periods.</t>
  </si>
  <si>
    <t xml:space="preserve">•  Not all current assets are equal: age receivables and inventory before trusting the ratio.</t>
  </si>
  <si>
    <t xml:space="preserve">•  Too much working capital is also a problem: capital tied up earns nothing.</t>
  </si>
  <si>
    <t xml:space="preserve">•  Include the overdraft and loan repayments due within twelve months in current liabilities.</t>
  </si>
  <si>
    <t xml:space="preserve">•  Industry norms vary enormously; compare only within your sector.</t>
  </si>
  <si>
    <t xml:space="preserve">•  Results are for general information only, not financial advice.</t>
  </si>
  <si>
    <t xml:space="preserve">Workbook contents</t>
  </si>
  <si>
    <t xml:space="preserve">Working Capital Calculator</t>
  </si>
  <si>
    <t xml:space="preserve">Your calculation: working capital, current and quick ratios, and the make-up of the cushion.</t>
  </si>
  <si>
    <t xml:space="preserve">Growth Cash Need</t>
  </si>
  <si>
    <t xml:space="preserve">The extra cash a revenue increase will tie up in working capital.</t>
  </si>
  <si>
    <t xml:space="preserve">Monthly Trend</t>
  </si>
  <si>
    <t xml:space="preserve">Twelve months of working capital and both ratios, with a chart.</t>
  </si>
  <si>
    <t xml:space="preserve">Worked Examples</t>
  </si>
  <si>
    <t xml:space="preserve">The worked examples from the article.</t>
  </si>
  <si>
    <t xml:space="preserve">Formula Guide</t>
  </si>
  <si>
    <t xml:space="preserve">The maths and the exact formula behind every result.</t>
  </si>
  <si>
    <t xml:space="preserve">Checks</t>
  </si>
  <si>
    <t xml:space="preserve">Automatic self-checks that confirm the workbook is calculating correctly.</t>
  </si>
  <si>
    <t xml:space="preserve">No macros, no add-ins, no internet connection required. Sheets are not locked, so you can adapt the workbook. © BabaDigit — free to use for your own analysis. Free online version: babadigit.com/working-capital-calculator. Results are for general information only and are not financial advice.</t>
  </si>
  <si>
    <t xml:space="preserve">Enter your figures in the yellow cells. Results update automatically.</t>
  </si>
  <si>
    <t xml:space="preserve">1  Your figures</t>
  </si>
  <si>
    <t xml:space="preserve">Cash, receivables, inventory, prepayments.</t>
  </si>
  <si>
    <t xml:space="preserve">RESULTS</t>
  </si>
  <si>
    <t xml:space="preserve">Payables, tax, overdraft, loans due.</t>
  </si>
  <si>
    <t xml:space="preserve">Inventory (optional)</t>
  </si>
  <si>
    <t xml:space="preserve">Removed for the quick ratio.</t>
  </si>
  <si>
    <t xml:space="preserve">2  What the cushion is made of</t>
  </si>
  <si>
    <t xml:space="preserve">Amount</t>
  </si>
  <si>
    <t xml:space="preserve">Per 1.00 owed</t>
  </si>
  <si>
    <t xml:space="preserve">Current assets excluding inventory</t>
  </si>
  <si>
    <t xml:space="preserve">Liabilities covered</t>
  </si>
  <si>
    <t xml:space="preserve">Reading this result</t>
  </si>
  <si>
    <t xml:space="preserve">The gap between the current ratio and the quick ratio shows how much of the cushion depends on selling stock. If that stock is slow-moving or seasonal, the quick ratio is the honest one.</t>
  </si>
  <si>
    <t xml:space="preserve">Input checks</t>
  </si>
  <si>
    <t xml:space="preserve">Working capital = current assets − current liabilities. See 'Formula Guide'.</t>
  </si>
  <si>
    <t xml:space="preserve">Growing businesses tie up cash in stock and unpaid invoices before the profit arrives.</t>
  </si>
  <si>
    <t xml:space="preserve">Inputs</t>
  </si>
  <si>
    <t xml:space="preserve">Current annual revenue</t>
  </si>
  <si>
    <t xml:space="preserve">Revenue at today’s level.</t>
  </si>
  <si>
    <t xml:space="preserve">Working capital today</t>
  </si>
  <si>
    <t xml:space="preserve">Taken from the calculator.</t>
  </si>
  <si>
    <t xml:space="preserve">Revenue you are planning for</t>
  </si>
  <si>
    <t xml:space="preserve">The higher revenue level.</t>
  </si>
  <si>
    <t xml:space="preserve">Result</t>
  </si>
  <si>
    <t xml:space="preserve">Working capital as % of revenue</t>
  </si>
  <si>
    <t xml:space="preserve">Tends to stay roughly constant as a business grows.</t>
  </si>
  <si>
    <t xml:space="preserve">Working capital needed at the new revenue</t>
  </si>
  <si>
    <t xml:space="preserve">New revenue × the same percentage.</t>
  </si>
  <si>
    <t xml:space="preserve">Additional cash tied up</t>
  </si>
  <si>
    <t xml:space="preserve">Has to be funded before the new profit arrives.</t>
  </si>
  <si>
    <t xml:space="preserve">Revenue growth planned</t>
  </si>
  <si>
    <t xml:space="preserve">Fund this from profit, borrowing or the owner before the growth happens. Collecting faster, holding less stock, negotiating longer supplier terms and taking deposits all shrink the percentage — and the cash need with it. Example revenue figures are fictional.</t>
  </si>
  <si>
    <t xml:space="preserve">Twelve months of liquidity. Three months of falling working capital is worth acting on.</t>
  </si>
  <si>
    <t xml:space="preserve">Month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</si>
  <si>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</si>
  <si>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</si>
  <si>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</si>
  <si>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</si>
  <si>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</si>
  <si>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</si>
  <si>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</si>
  <si>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</si>
  <si>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</si>
  <si>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</si>
  <si>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</si>
  <si>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</si>
  <si>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Summary</t>
  </si>
  <si>
    <t xml:space="preserve">Latest working capital</t>
  </si>
  <si>
    <t xml:space="preserve">Change since the first month</t>
  </si>
  <si>
    <t xml:space="preserve">Lowest current ratio</t>
  </si>
  <si>
    <t xml:space="preserve">Replace the fictional example months with your own balance-sheet figures. The example shows a common pattern: working capital slowly eroding as liabilities grow faster than current assets.</t>
  </si>
  <si>
    <t xml:space="preserve">Fictional scenarios — the same examples as babadigit.com/working-capital-calculator.</t>
  </si>
  <si>
    <t xml:space="preserve">Example 1 — A trading business</t>
  </si>
  <si>
    <t xml:space="preserve">Current assets of 480,000, of which 150,000 is inventory. Current liabilities of 300,000.</t>
  </si>
  <si>
    <t xml:space="preserve">480,000 − 300,000 = 180,000</t>
  </si>
  <si>
    <t xml:space="preserve">480,000 ÷ 300,000 = 1.60</t>
  </si>
  <si>
    <t xml:space="preserve">330,000 ÷ 300,000 = 1.10</t>
  </si>
  <si>
    <t xml:space="preserve">Example 2 — Negative working capital</t>
  </si>
  <si>
    <t xml:space="preserve">Current assets fall to 220,000 while current liabilities stay at 300,000.</t>
  </si>
  <si>
    <t xml:space="preserve">220,000 − 300,000 = −80,000</t>
  </si>
  <si>
    <t xml:space="preserve">220,000 ÷ 300,000 = 0.73</t>
  </si>
  <si>
    <t xml:space="preserve">Example 3 — Why growing businesses run out of cash</t>
  </si>
  <si>
    <t xml:space="preserve">Revenue of 1,200,000 carries 180,000 of working capital. Revenue rises to 1,800,000.</t>
  </si>
  <si>
    <t xml:space="preserve">Revenue today</t>
  </si>
  <si>
    <t xml:space="preserve">New revenue</t>
  </si>
  <si>
    <t xml:space="preserve">180,000 ÷ 1,200,000 = 15%</t>
  </si>
  <si>
    <t xml:space="preserve">Needed at the new level</t>
  </si>
  <si>
    <t xml:space="preserve">1,800,000 × 15% = 270,000</t>
  </si>
  <si>
    <t xml:space="preserve">90,000 — funded before the new profit arrives</t>
  </si>
  <si>
    <t xml:space="preserve">Change any yellow cell to see how each result responds. Examples are fictional and for illustration only.</t>
  </si>
  <si>
    <t xml:space="preserve">The method behind every result — identical to the online BabaDigit Working Capital Calculator.</t>
  </si>
  <si>
    <t xml:space="preserve">The formulas</t>
  </si>
  <si>
    <t xml:space="preserve">Mathematical formula</t>
  </si>
  <si>
    <t xml:space="preserve">How this workbook calculates it</t>
  </si>
  <si>
    <t xml:space="preserve">Current assets − Current liabilities</t>
  </si>
  <si>
    <t xml:space="preserve">=N(Current_Assets)-Current_Liab</t>
  </si>
  <si>
    <t xml:space="preserve">Current assets ÷ Current liabilities</t>
  </si>
  <si>
    <t xml:space="preserve">=N(Current_Assets)/Current_Liab</t>
  </si>
  <si>
    <t xml:space="preserve">(Current assets − Inventory) ÷ Current liabilities</t>
  </si>
  <si>
    <t xml:space="preserve">=(N(Current_Assets)-N(Inventory))/Current_Liab</t>
  </si>
  <si>
    <t xml:space="preserve">Current ratio shown as a percentage</t>
  </si>
  <si>
    <t xml:space="preserve">Cash tied up by growth</t>
  </si>
  <si>
    <t xml:space="preserve">New revenue × (working capital ÷ revenue) − working capital today</t>
  </si>
  <si>
    <t xml:space="preserve">=G_Needed-WC_Result</t>
  </si>
  <si>
    <t xml:space="preserve">Why these rules</t>
  </si>
  <si>
    <t xml:space="preserve">•  The ratios appear only when current liabilities are above zero — exactly like the online calculator.</t>
  </si>
  <si>
    <t xml:space="preserve">•  With no current liabilities entered, the headline shows current assets, as the online calculator does.</t>
  </si>
  <si>
    <t xml:space="preserve">•  Blank current assets and inventory count as zero.</t>
  </si>
  <si>
    <t xml:space="preserve">•  Include the overdraft and loan repayments due within twelve months in current liabilities — leaving them out flatters the position.</t>
  </si>
  <si>
    <t xml:space="preserve">Do it in any spreadsheet</t>
  </si>
  <si>
    <t xml:space="preserve">Set-up</t>
  </si>
  <si>
    <t xml:space="preserve">Current assets in B1, current liabilities in B2, inventory in B3.</t>
  </si>
  <si>
    <t xml:space="preserve">=B1-B2</t>
  </si>
  <si>
    <t xml:space="preserve">=B1/B2</t>
  </si>
  <si>
    <t xml:space="preserve">=(B1-B3)/B2</t>
  </si>
  <si>
    <t xml:space="preserve">Named ranges used</t>
  </si>
  <si>
    <t xml:space="preserve">Current_Assets</t>
  </si>
  <si>
    <t xml:space="preserve">'Working Capital Calculator'!D8</t>
  </si>
  <si>
    <t xml:space="preserve">Current_Liab</t>
  </si>
  <si>
    <t xml:space="preserve">'Working Capital Calculator'!D10</t>
  </si>
  <si>
    <t xml:space="preserve">'Working Capital Calculator'!D12</t>
  </si>
  <si>
    <t xml:space="preserve">WC_Result</t>
  </si>
  <si>
    <t xml:space="preserve">'Working Capital Calculator'!H11</t>
  </si>
  <si>
    <t xml:space="preserve">Current_Ratio</t>
  </si>
  <si>
    <t xml:space="preserve">'Working Capital Calculator'!I14</t>
  </si>
  <si>
    <t xml:space="preserve">Quick_Ratio</t>
  </si>
  <si>
    <t xml:space="preserve">'Working Capital Calculator'!I15</t>
  </si>
  <si>
    <t xml:space="preserve">Coverage</t>
  </si>
  <si>
    <t xml:space="preserve">'Working Capital Calculator'!I16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</si>
  <si>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</si>
  <si>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</si>
  <si>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</si>
  <si>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</si>
  <si>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working capital matches the published 180,000</t>
  </si>
  <si>
    <t xml:space="preserve">Example 1 current ratio matches the published 1.60</t>
  </si>
  <si>
    <t xml:space="preserve">Example 1 quick ratio matches the published 1.10</t>
  </si>
  <si>
    <t xml:space="preserve">Example 2 working capital matches the published −80,000</t>
  </si>
  <si>
    <t xml:space="preserve">Example 2 current ratio matches the published 0.73</t>
  </si>
  <si>
    <t xml:space="preserve">Example 3 needed at the new level matches the published 270,000</t>
  </si>
  <si>
    <t xml:space="preserve">Example 3 additional cash matches the published 90,000</t>
  </si>
  <si>
    <t xml:space="preserve">Calculator: current ratio − 1 = working capital ÷ current liabilities</t>
  </si>
  <si>
    <t xml:space="preserve">Calculator: current − quick ratio = inventory ÷ current liabilities</t>
  </si>
  <si>
    <t xml:space="preserve">Calculator: the make-up table ends on the headline working capital</t>
  </si>
  <si>
    <t xml:space="preserve">Growth Cash Need: needed ÷ new revenue = today’s percentage</t>
  </si>
  <si>
    <t xml:space="preserve">Overall status</t>
  </si>
  <si>
    <t xml:space="preserve">'N/A' means a check does not apply to the figures currently entered. Published values are the worked-example results on babadigit.com/working-capital-calculator.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</si>
</sst>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;[RED]\-#,##0.00;\-"/>
    <numFmt numFmtId="166" formatCode="0.00"/>
    <numFmt numFmtId="167" formatCode="0.00%;[RED]\-0.00%;0.00%"/>
    <numFmt numFmtId="168" formatCode="#,##0;[RED]\-#,##0;\-"/>
    <numFmt numFmtId="169" formatCode="\+#,##0;[RED]\-#,##0;0"/>
    <numFmt numFmtId="170" formatCode="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94A3B8"/>
      <name val="Arial"/>
      <family val="0"/>
      <charset val="1"/>
    </font>
    <font>
      <sz val="9"/>
      <color rgb="FF334155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color rgb="FFFCA5A5"/>
        <sz val="10"/>
      </font>
    </dxf>
    <dxf>
      <font>
        <name val="Arial"/>
        <charset val="1"/>
        <family val="0"/>
        <b val="1"/>
        <color rgb="FFFCA5A5"/>
        <sz val="10"/>
      </font>
    </dxf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9"/>
      </font>
    </dxf>
    <dxf>
      <font>
        <name val="Arial"/>
        <charset val="1"/>
        <family val="0"/>
        <color rgb="FF0F766E"/>
        <sz val="9"/>
      </font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D9D9D9"/>
      <rgbColor rgb="FF878787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CCFFC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Current and quick ratio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Trend'!G7</c:f>
              <c:strCache>
                <c:ptCount val="1"/>
                <c:pt idx="0">
                  <c:v>Current ratio</c:v>
                </c:pt>
              </c:strCache>
            </c:strRef>
          </c:tx>
          <c:spPr>
            <a:solidFill>
              <a:srgbClr val="2563eb"/>
            </a:solidFill>
            <a:ln w="28440">
              <a:solidFill>
                <a:srgbClr val="2563e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Trend'!$B$8:$B$19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Trend'!$G$8:$G$19</c:f>
              <c:numCache>
                <c:formatCode>0.00</c:formatCode>
                <c:ptCount val="12"/>
                <c:pt idx="0">
                  <c:v>1.56896551724138</c:v>
                </c:pt>
                <c:pt idx="1">
                  <c:v>1.58219178082192</c:v>
                </c:pt>
                <c:pt idx="2">
                  <c:v>1.59322033898305</c:v>
                </c:pt>
                <c:pt idx="3">
                  <c:v>1.58108108108108</c:v>
                </c:pt>
                <c:pt idx="4">
                  <c:v>1.59395973154362</c:v>
                </c:pt>
                <c:pt idx="5">
                  <c:v>1.6</c:v>
                </c:pt>
                <c:pt idx="6">
                  <c:v>1.55775577557756</c:v>
                </c:pt>
                <c:pt idx="7">
                  <c:v>1.51465798045603</c:v>
                </c:pt>
                <c:pt idx="8">
                  <c:v>1.47741935483871</c:v>
                </c:pt>
                <c:pt idx="9">
                  <c:v>1.43312101910828</c:v>
                </c:pt>
                <c:pt idx="10">
                  <c:v>1.38679245283019</c:v>
                </c:pt>
                <c:pt idx="11">
                  <c:v>1.35403726708075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'Monthly Trend'!H7</c:f>
              <c:strCache>
                <c:ptCount val="1"/>
                <c:pt idx="0">
                  <c:v>Quick ratio</c:v>
                </c:pt>
              </c:strCache>
            </c:strRef>
          </c:tx>
          <c:spPr>
            <a:solidFill>
              <a:srgbClr val="14b8a6"/>
            </a:solidFill>
            <a:ln w="28440">
              <a:solidFill>
                <a:srgbClr val="14b8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Trend'!$B$8:$B$19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Trend'!$H$8:$H$19</c:f>
              <c:numCache>
                <c:formatCode>0.00</c:formatCode>
                <c:ptCount val="12"/>
                <c:pt idx="0">
                  <c:v>1.08620689655172</c:v>
                </c:pt>
                <c:pt idx="1">
                  <c:v>1.0958904109589</c:v>
                </c:pt>
                <c:pt idx="2">
                  <c:v>1.09830508474576</c:v>
                </c:pt>
                <c:pt idx="3">
                  <c:v>1.08108108108108</c:v>
                </c:pt>
                <c:pt idx="4">
                  <c:v>1.09395973154362</c:v>
                </c:pt>
                <c:pt idx="5">
                  <c:v>1.1</c:v>
                </c:pt>
                <c:pt idx="6">
                  <c:v>1.05610561056106</c:v>
                </c:pt>
                <c:pt idx="7">
                  <c:v>1.00977198697068</c:v>
                </c:pt>
                <c:pt idx="8">
                  <c:v>0.970967741935484</c:v>
                </c:pt>
                <c:pt idx="9">
                  <c:v>0.923566878980892</c:v>
                </c:pt>
                <c:pt idx="10">
                  <c:v>0.874213836477987</c:v>
                </c:pt>
                <c:pt idx="11">
                  <c:v>0.838509316770186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2064862"/>
        <c:axId val="37401360"/>
      </c:lineChart>
      <c:catAx>
        <c:axId val="820648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401360"/>
        <c:crosses val="autoZero"/>
        <c:auto val="1"/>
        <c:lblAlgn val="ctr"/>
        <c:lblOffset val="100"/>
        <c:noMultiLvlLbl val="0"/>
      </c:catAx>
      <c:valAx>
        <c:axId val="374013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06486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6</xdr:row>
      <xdr:rowOff>0</xdr:rowOff>
    </xdr:from>
    <xdr:to>
      <xdr:col>17</xdr:col>
      <xdr:colOff>347400</xdr:colOff>
      <xdr:row>20</xdr:row>
      <xdr:rowOff>201960</xdr:rowOff>
    </xdr:to>
    <xdr:graphicFrame>
      <xdr:nvGraphicFramePr>
        <xdr:cNvPr id="0" name="Chart 1"/>
        <xdr:cNvGraphicFramePr/>
      </xdr:nvGraphicFramePr>
      <xdr:xfrm>
        <a:off x="6625440" y="1047600"/>
        <a:ext cx="53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18" hidden="false" customHeight="true" outlineLevel="0" collapsed="false">
      <c r="B11" s="8" t="s">
        <v>5</v>
      </c>
      <c r="C11" s="9" t="s">
        <v>6</v>
      </c>
    </row>
    <row r="12" customFormat="false" ht="30" hidden="false" customHeight="true" outlineLevel="0" collapsed="false">
      <c r="B12" s="8" t="s">
        <v>7</v>
      </c>
      <c r="C12" s="9" t="s">
        <v>8</v>
      </c>
    </row>
    <row r="13" customFormat="false" ht="18" hidden="false" customHeight="true" outlineLevel="0" collapsed="false">
      <c r="B13" s="8" t="s">
        <v>9</v>
      </c>
      <c r="C13" s="9" t="s">
        <v>10</v>
      </c>
    </row>
    <row r="14" customFormat="false" ht="18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18" hidden="false" customHeight="true" outlineLevel="0" collapsed="false">
      <c r="B17" s="8" t="s">
        <v>14</v>
      </c>
      <c r="C17" s="9" t="s">
        <v>15</v>
      </c>
    </row>
    <row r="18" customFormat="false" ht="30" hidden="false" customHeight="true" outlineLevel="0" collapsed="false">
      <c r="B18" s="8" t="s">
        <v>16</v>
      </c>
      <c r="C18" s="9" t="s">
        <v>17</v>
      </c>
    </row>
    <row r="19" customFormat="false" ht="18" hidden="false" customHeight="true" outlineLevel="0" collapsed="false">
      <c r="B19" s="8" t="s">
        <v>18</v>
      </c>
      <c r="C19" s="9" t="s">
        <v>19</v>
      </c>
    </row>
    <row r="21" customFormat="false" ht="19.5" hidden="false" customHeight="true" outlineLevel="0" collapsed="false">
      <c r="B21" s="5" t="s">
        <v>20</v>
      </c>
      <c r="C21" s="6"/>
    </row>
    <row r="22" customFormat="false" ht="19.5" hidden="false" customHeight="true" outlineLevel="0" collapsed="false">
      <c r="B22" s="10" t="s">
        <v>21</v>
      </c>
      <c r="C22" s="9" t="s">
        <v>22</v>
      </c>
    </row>
    <row r="23" customFormat="false" ht="19.5" hidden="false" customHeight="true" outlineLevel="0" collapsed="false">
      <c r="B23" s="11" t="s">
        <v>23</v>
      </c>
      <c r="C23" s="9" t="s">
        <v>24</v>
      </c>
    </row>
    <row r="24" customFormat="false" ht="19.5" hidden="false" customHeight="true" outlineLevel="0" collapsed="false">
      <c r="B24" s="12" t="s">
        <v>25</v>
      </c>
      <c r="C24" s="9" t="s">
        <v>26</v>
      </c>
    </row>
    <row r="25" customFormat="false" ht="19.5" hidden="false" customHeight="true" outlineLevel="0" collapsed="false">
      <c r="B25" s="13" t="s">
        <v>27</v>
      </c>
      <c r="C25" s="9" t="s">
        <v>28</v>
      </c>
    </row>
    <row r="27" customFormat="false" ht="19.5" hidden="false" customHeight="true" outlineLevel="0" collapsed="false">
      <c r="B27" s="5" t="s">
        <v>29</v>
      </c>
      <c r="C27" s="6"/>
    </row>
    <row r="28" customFormat="false" ht="18" hidden="false" customHeight="true" outlineLevel="0" collapsed="false">
      <c r="B28" s="8" t="s">
        <v>30</v>
      </c>
      <c r="C28" s="9" t="s">
        <v>31</v>
      </c>
    </row>
    <row r="29" customFormat="false" ht="30" hidden="false" customHeight="true" outlineLevel="0" collapsed="false">
      <c r="B29" s="8" t="s">
        <v>32</v>
      </c>
      <c r="C29" s="9" t="s">
        <v>33</v>
      </c>
    </row>
    <row r="30" customFormat="false" ht="30" hidden="false" customHeight="true" outlineLevel="0" collapsed="false">
      <c r="B30" s="8" t="s">
        <v>34</v>
      </c>
      <c r="C30" s="9" t="s">
        <v>35</v>
      </c>
    </row>
    <row r="31" customFormat="false" ht="30" hidden="false" customHeight="true" outlineLevel="0" collapsed="false">
      <c r="B31" s="8" t="s">
        <v>36</v>
      </c>
      <c r="C31" s="9" t="s">
        <v>37</v>
      </c>
    </row>
    <row r="33" customFormat="false" ht="19.5" hidden="false" customHeight="true" outlineLevel="0" collapsed="false">
      <c r="B33" s="5" t="s">
        <v>38</v>
      </c>
      <c r="C33" s="6"/>
    </row>
    <row r="34" customFormat="false" ht="18" hidden="false" customHeight="true" outlineLevel="0" collapsed="false">
      <c r="B34" s="7" t="s">
        <v>39</v>
      </c>
      <c r="C34" s="7"/>
    </row>
    <row r="35" customFormat="false" ht="18" hidden="false" customHeight="true" outlineLevel="0" collapsed="false">
      <c r="B35" s="7" t="s">
        <v>40</v>
      </c>
      <c r="C35" s="7"/>
    </row>
    <row r="36" customFormat="false" ht="18" hidden="false" customHeight="true" outlineLevel="0" collapsed="false">
      <c r="B36" s="7" t="s">
        <v>41</v>
      </c>
      <c r="C36" s="7"/>
    </row>
    <row r="37" customFormat="false" ht="18" hidden="false" customHeight="true" outlineLevel="0" collapsed="false">
      <c r="B37" s="7" t="s">
        <v>42</v>
      </c>
      <c r="C37" s="7"/>
    </row>
    <row r="38" customFormat="false" ht="18" hidden="false" customHeight="true" outlineLevel="0" collapsed="false">
      <c r="B38" s="7" t="s">
        <v>43</v>
      </c>
      <c r="C38" s="7"/>
    </row>
    <row r="39" customFormat="false" ht="18" hidden="false" customHeight="true" outlineLevel="0" collapsed="false">
      <c r="B39" s="7" t="s">
        <v>44</v>
      </c>
      <c r="C39" s="7"/>
    </row>
    <row r="41" customFormat="false" ht="19.5" hidden="false" customHeight="true" outlineLevel="0" collapsed="false">
      <c r="B41" s="5" t="s">
        <v>45</v>
      </c>
      <c r="C41" s="6"/>
    </row>
    <row r="42" customFormat="false" ht="18" hidden="false" customHeight="true" outlineLevel="0" collapsed="false">
      <c r="B42" s="14" t="s">
        <v>46</v>
      </c>
      <c r="C42" s="9" t="s">
        <v>47</v>
      </c>
    </row>
    <row r="43" customFormat="false" ht="18" hidden="false" customHeight="true" outlineLevel="0" collapsed="false">
      <c r="B43" s="14" t="s">
        <v>48</v>
      </c>
      <c r="C43" s="9" t="s">
        <v>49</v>
      </c>
    </row>
    <row r="44" customFormat="false" ht="18" hidden="false" customHeight="true" outlineLevel="0" collapsed="false">
      <c r="B44" s="14" t="s">
        <v>50</v>
      </c>
      <c r="C44" s="9" t="s">
        <v>51</v>
      </c>
    </row>
    <row r="45" customFormat="false" ht="18" hidden="false" customHeight="true" outlineLevel="0" collapsed="false">
      <c r="B45" s="14" t="s">
        <v>52</v>
      </c>
      <c r="C45" s="9" t="s">
        <v>53</v>
      </c>
    </row>
    <row r="46" customFormat="false" ht="18" hidden="false" customHeight="true" outlineLevel="0" collapsed="false">
      <c r="B46" s="14" t="s">
        <v>54</v>
      </c>
      <c r="C46" s="9" t="s">
        <v>55</v>
      </c>
    </row>
    <row r="47" customFormat="false" ht="18" hidden="false" customHeight="true" outlineLevel="0" collapsed="false">
      <c r="B47" s="14" t="s">
        <v>56</v>
      </c>
      <c r="C47" s="9" t="s">
        <v>57</v>
      </c>
    </row>
    <row r="49" customFormat="false" ht="30" hidden="false" customHeight="true" outlineLevel="0" collapsed="false">
      <c r="B49" s="15" t="s">
        <v>58</v>
      </c>
      <c r="C49" s="15"/>
    </row>
  </sheetData>
  <mergeCells count="8">
    <mergeCell ref="B8:C8"/>
    <mergeCell ref="B34:C34"/>
    <mergeCell ref="B35:C35"/>
    <mergeCell ref="B36:C36"/>
    <mergeCell ref="B37:C37"/>
    <mergeCell ref="B38:C38"/>
    <mergeCell ref="B39:C39"/>
    <mergeCell ref="B49:C49"/>
  </mergeCells>
  <hyperlinks>
    <hyperlink ref="B42" location="'Working Capital Calculator'!A1" display="Working Capital Calculator"/>
    <hyperlink ref="B43" location="'Growth Cash Need'!A1" display="Growth Cash Need"/>
    <hyperlink ref="B44" location="'Monthly Trend'!A1" display="Monthly Trend"/>
    <hyperlink ref="B45" location="'Worked Examples'!A1" display="Worked Examples"/>
    <hyperlink ref="B46" location="'Formula Guide'!A1" display="Formula Guide"/>
    <hyperlink ref="B47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6" min="4" style="0" width="18"/>
    <col collapsed="false" customWidth="true" hidden="false" outlineLevel="0" max="7" min="7" style="0" width="3"/>
    <col collapsed="false" customWidth="true" hidden="false" outlineLevel="0" max="8" min="8" style="0" width="38"/>
    <col collapsed="false" customWidth="true" hidden="false" outlineLevel="0" max="9" min="9" style="0" width="20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59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60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14</v>
      </c>
      <c r="D8" s="19" t="n">
        <v>480000</v>
      </c>
      <c r="E8" s="20" t="s">
        <v>61</v>
      </c>
      <c r="F8" s="20"/>
      <c r="H8" s="21" t="s">
        <v>62</v>
      </c>
      <c r="I8" s="17"/>
    </row>
    <row r="9" customFormat="false" ht="15" hidden="false" customHeight="false" outlineLevel="0" collapsed="false">
      <c r="H9" s="16"/>
      <c r="I9" s="17"/>
    </row>
    <row r="10" customFormat="false" ht="15" hidden="false" customHeight="true" outlineLevel="0" collapsed="false">
      <c r="B10" s="18" t="s">
        <v>16</v>
      </c>
      <c r="D10" s="19" t="n">
        <v>300000</v>
      </c>
      <c r="E10" s="20" t="s">
        <v>63</v>
      </c>
      <c r="F10" s="20"/>
      <c r="H10" s="22" t="s">
        <v>30</v>
      </c>
      <c r="I10" s="17"/>
    </row>
    <row r="11" customFormat="false" ht="15" hidden="false" customHeight="false" outlineLevel="0" collapsed="false">
      <c r="H11" s="23" t="n">
        <f aca="false">IF(AND(ISNUMBER(Current_Liab),N(Current_Liab)&gt;0),N(Current_Assets)-Current_Liab,N(Current_Assets))</f>
        <v>180000</v>
      </c>
      <c r="I11" s="23"/>
    </row>
    <row r="12" customFormat="false" ht="15" hidden="false" customHeight="true" outlineLevel="0" collapsed="false">
      <c r="B12" s="18" t="s">
        <v>64</v>
      </c>
      <c r="D12" s="19" t="n">
        <v>150000</v>
      </c>
      <c r="E12" s="20" t="s">
        <v>65</v>
      </c>
      <c r="F12" s="20"/>
      <c r="H12" s="23"/>
      <c r="I12" s="23"/>
    </row>
    <row r="13" customFormat="false" ht="15" hidden="false" customHeight="false" outlineLevel="0" collapsed="false">
      <c r="H13" s="16"/>
      <c r="I13" s="17"/>
    </row>
    <row r="14" customFormat="false" ht="19.5" hidden="false" customHeight="true" outlineLevel="0" collapsed="false">
      <c r="B14" s="5" t="s">
        <v>66</v>
      </c>
      <c r="C14" s="6"/>
      <c r="D14" s="6"/>
      <c r="E14" s="6"/>
      <c r="F14" s="6"/>
      <c r="H14" s="24" t="s">
        <v>32</v>
      </c>
      <c r="I14" s="25" t="n">
        <f aca="false">IF(AND(ISNUMBER(Current_Liab),N(Current_Liab)&gt;0),N(Current_Assets)/Current_Liab,"—")</f>
        <v>1.6</v>
      </c>
    </row>
    <row r="15" customFormat="false" ht="18" hidden="false" customHeight="true" outlineLevel="0" collapsed="false">
      <c r="B15" s="26"/>
      <c r="C15" s="27" t="s">
        <v>67</v>
      </c>
      <c r="D15" s="27" t="s">
        <v>68</v>
      </c>
      <c r="H15" s="24" t="s">
        <v>34</v>
      </c>
      <c r="I15" s="25" t="n">
        <f aca="false">IF(AND(ISNUMBER(Current_Liab),N(Current_Liab)&gt;0),(N(Current_Assets)-N(Inventory))/Current_Liab,"—")</f>
        <v>1.1</v>
      </c>
    </row>
    <row r="16" customFormat="false" ht="15" hidden="false" customHeight="false" outlineLevel="0" collapsed="false">
      <c r="B16" s="18" t="s">
        <v>69</v>
      </c>
      <c r="C16" s="28" t="n">
        <f aca="false">N(Current_Assets)-N(Inventory)</f>
        <v>330000</v>
      </c>
      <c r="D16" s="29" t="n">
        <f aca="false">IF(AND(ISNUMBER(Current_Liab),N(Current_Liab)&gt;0),(N(Current_Assets)-N(Inventory))/Current_Liab,"—")</f>
        <v>1.1</v>
      </c>
      <c r="H16" s="24" t="s">
        <v>70</v>
      </c>
      <c r="I16" s="30" t="n">
        <f aca="false">IF(AND(ISNUMBER(Current_Liab),N(Current_Liab)&gt;0),N(Current_Assets)/Current_Liab,"—")</f>
        <v>1.6</v>
      </c>
    </row>
    <row r="17" customFormat="false" ht="15" hidden="false" customHeight="false" outlineLevel="0" collapsed="false">
      <c r="B17" s="18" t="s">
        <v>18</v>
      </c>
      <c r="C17" s="28" t="n">
        <f aca="false">N(Inventory)</f>
        <v>150000</v>
      </c>
      <c r="D17" s="29" t="n">
        <f aca="false">IF(AND(ISNUMBER(Current_Liab),N(Current_Liab)&gt;0),(N(Inventory))/Current_Liab,"—")</f>
        <v>0.5</v>
      </c>
      <c r="H17" s="16"/>
      <c r="I17" s="17"/>
    </row>
    <row r="18" customFormat="false" ht="15" hidden="false" customHeight="false" outlineLevel="0" collapsed="false">
      <c r="B18" s="31" t="s">
        <v>14</v>
      </c>
      <c r="C18" s="32" t="n">
        <f aca="false">N(Current_Assets)</f>
        <v>480000</v>
      </c>
      <c r="D18" s="33" t="n">
        <f aca="false">IF(AND(ISNUMBER(Current_Liab),N(Current_Liab)&gt;0),(N(Current_Assets))/Current_Liab,"—")</f>
        <v>1.6</v>
      </c>
      <c r="H18" s="34" t="str">
        <f aca="false">IF(AND(ISNUMBER(Current_Liab),N(Current_Liab)&gt;0),"Current assets − current liabilities.","No current liabilities entered: showing current assets.")</f>
        <v>Current assets − current liabilities.</v>
      </c>
      <c r="I18" s="34"/>
    </row>
    <row r="19" customFormat="false" ht="15" hidden="false" customHeight="false" outlineLevel="0" collapsed="false">
      <c r="B19" s="18" t="s">
        <v>16</v>
      </c>
      <c r="C19" s="28" t="n">
        <f aca="false">N(Current_Liab)</f>
        <v>300000</v>
      </c>
      <c r="D19" s="29" t="n">
        <f aca="false">IF(AND(ISNUMBER(Current_Liab),N(Current_Liab)&gt;0),(N(Current_Liab))/Current_Liab,"—")</f>
        <v>1</v>
      </c>
      <c r="H19" s="16"/>
      <c r="I19" s="17"/>
    </row>
    <row r="20" customFormat="false" ht="15" hidden="false" customHeight="false" outlineLevel="0" collapsed="false">
      <c r="B20" s="31" t="s">
        <v>30</v>
      </c>
      <c r="C20" s="32" t="n">
        <f aca="false">N(Current_Assets)-N(Current_Liab)</f>
        <v>180000</v>
      </c>
      <c r="D20" s="33" t="n">
        <f aca="false">IF(AND(ISNUMBER(Current_Liab),N(Current_Liab)&gt;0),(N(Current_Assets)-N(Current_Liab))/Current_Liab,"—")</f>
        <v>0.6</v>
      </c>
    </row>
    <row r="21" customFormat="false" ht="19.5" hidden="false" customHeight="true" outlineLevel="0" collapsed="false">
      <c r="H21" s="5" t="s">
        <v>71</v>
      </c>
      <c r="I21" s="6"/>
    </row>
    <row r="22" customFormat="false" ht="30" hidden="false" customHeight="true" outlineLevel="0" collapsed="false">
      <c r="B22" s="20" t="s">
        <v>72</v>
      </c>
      <c r="C22" s="20"/>
      <c r="D22" s="20"/>
      <c r="E22" s="20"/>
      <c r="F22" s="20"/>
      <c r="H22" s="35" t="str">
        <f aca="false">IF(AND(ISNUMBER(Current_Liab),N(Current_Liab)&gt;0),IF(WC_Result&gt;=0,"Short-term assets exceed short-term obligations by "&amp;TEXT(WC_Result,"#,##0.00")&amp;". Excluding inventory, there is still "&amp;TEXT(Quick_Ratio,"0.00")&amp;" of liquid assets for every 1.00 owed within the year.","Obligations due within the year exceed short-term assets by "&amp;TEXT(ABS(WC_Result),"#,##0.00")&amp;". That is normal for businesses paid before they pay suppliers, and a warning for everyone else."),"With no current liabilities entered, every current asset is free. Enter your short-term obligations to see the ratios.")</f>
        <v>Short-term assets exceed short-term obligations by 180,000.00. Excluding inventory, there is still 1.10 of liquid assets for every 1.00 owed within the year.</v>
      </c>
      <c r="I22" s="35"/>
    </row>
    <row r="23" customFormat="false" ht="15" hidden="false" customHeight="false" outlineLevel="0" collapsed="false">
      <c r="B23" s="20"/>
      <c r="C23" s="20"/>
      <c r="D23" s="20"/>
      <c r="E23" s="20"/>
      <c r="F23" s="20"/>
      <c r="H23" s="35"/>
      <c r="I23" s="35"/>
    </row>
    <row r="24" customFormat="false" ht="15" hidden="false" customHeight="false" outlineLevel="0" collapsed="false">
      <c r="H24" s="35"/>
      <c r="I24" s="35"/>
    </row>
    <row r="25" customFormat="false" ht="15" hidden="false" customHeight="false" outlineLevel="0" collapsed="false">
      <c r="H25" s="35"/>
      <c r="I25" s="35"/>
    </row>
    <row r="26" customFormat="false" ht="15" hidden="false" customHeight="false" outlineLevel="0" collapsed="false">
      <c r="H26" s="35"/>
      <c r="I26" s="35"/>
    </row>
    <row r="27" customFormat="false" ht="15" hidden="false" customHeight="false" outlineLevel="0" collapsed="false">
      <c r="H27" s="35"/>
      <c r="I27" s="35"/>
    </row>
    <row r="29" customFormat="false" ht="19.5" hidden="false" customHeight="true" outlineLevel="0" collapsed="false">
      <c r="H29" s="5" t="s">
        <v>73</v>
      </c>
      <c r="I29" s="6"/>
    </row>
    <row r="30" customFormat="false" ht="15" hidden="false" customHeight="false" outlineLevel="0" collapsed="false">
      <c r="H30" s="36" t="str">
        <f aca="false">IF(ISBLANK(Current_Assets),"Check — current assets blank, treated as zero","OK — current assets entered")</f>
        <v>OK — current assets entered</v>
      </c>
      <c r="I30" s="36"/>
    </row>
    <row r="31" customFormat="false" ht="15" hidden="false" customHeight="false" outlineLevel="0" collapsed="false">
      <c r="H31" s="36" t="str">
        <f aca="false">IF(NOT(ISNUMBER(Current_Liab)),"Check — enter current liabilities to see the ratios",IF(Current_Liab&lt;=0,"Check — current liabilities must be above zero for the ratios","OK — current liabilities entered"))</f>
        <v>OK — current liabilities entered</v>
      </c>
      <c r="I31" s="36"/>
    </row>
    <row r="32" customFormat="false" ht="15" hidden="false" customHeight="false" outlineLevel="0" collapsed="false">
      <c r="H32" s="36" t="str">
        <f aca="false">IF(N(Inventory)&gt;N(Current_Assets),"Check — inventory is larger than current assets","OK — inventory within current assets")</f>
        <v>OK — inventory within current assets</v>
      </c>
      <c r="I32" s="36"/>
    </row>
    <row r="34" customFormat="false" ht="15" hidden="false" customHeight="true" outlineLevel="0" collapsed="false">
      <c r="H34" s="20" t="s">
        <v>74</v>
      </c>
      <c r="I34" s="20"/>
    </row>
    <row r="35" customFormat="false" ht="15" hidden="false" customHeight="false" outlineLevel="0" collapsed="false">
      <c r="H35" s="20"/>
      <c r="I35" s="20"/>
    </row>
  </sheetData>
  <mergeCells count="11">
    <mergeCell ref="E8:F8"/>
    <mergeCell ref="E10:F10"/>
    <mergeCell ref="H11:I12"/>
    <mergeCell ref="E12:F12"/>
    <mergeCell ref="H18:I18"/>
    <mergeCell ref="B22:F23"/>
    <mergeCell ref="H22:I27"/>
    <mergeCell ref="H30:I30"/>
    <mergeCell ref="H31:I31"/>
    <mergeCell ref="H32:I32"/>
    <mergeCell ref="H34:I35"/>
  </mergeCells>
  <conditionalFormatting sqref="C16">
    <cfRule type="expression" priority="2" aboveAverage="0" equalAverage="0" bottom="0" percent="0" rank="0" text="" dxfId="0">
      <formula>AND(ISNUMBER($C$16),$C$16&lt;0)</formula>
    </cfRule>
  </conditionalFormatting>
  <conditionalFormatting sqref="C17">
    <cfRule type="expression" priority="3" aboveAverage="0" equalAverage="0" bottom="0" percent="0" rank="0" text="" dxfId="0">
      <formula>AND(ISNUMBER($C$17),$C$17&lt;0)</formula>
    </cfRule>
  </conditionalFormatting>
  <conditionalFormatting sqref="C18">
    <cfRule type="expression" priority="4" aboveAverage="0" equalAverage="0" bottom="0" percent="0" rank="0" text="" dxfId="1">
      <formula>AND(ISNUMBER($C$18),$C$18&lt;0)</formula>
    </cfRule>
  </conditionalFormatting>
  <conditionalFormatting sqref="C19">
    <cfRule type="expression" priority="5" aboveAverage="0" equalAverage="0" bottom="0" percent="0" rank="0" text="" dxfId="0">
      <formula>AND(ISNUMBER($C$19),$C$19&lt;0)</formula>
    </cfRule>
  </conditionalFormatting>
  <conditionalFormatting sqref="C20">
    <cfRule type="expression" priority="6" aboveAverage="0" equalAverage="0" bottom="0" percent="0" rank="0" text="" dxfId="1">
      <formula>AND(ISNUMBER($C$20),$C$20&lt;0)</formula>
    </cfRule>
  </conditionalFormatting>
  <conditionalFormatting sqref="H11">
    <cfRule type="expression" priority="7" aboveAverage="0" equalAverage="0" bottom="0" percent="0" rank="0" text="" dxfId="2">
      <formula>AND(ISNUMBER($H$11),$H$11&lt;0)</formula>
    </cfRule>
  </conditionalFormatting>
  <conditionalFormatting sqref="I14">
    <cfRule type="expression" priority="8" aboveAverage="0" equalAverage="0" bottom="0" percent="0" rank="0" text="" dxfId="3">
      <formula>AND(ISNUMBER($I$14),$I$14&lt;0)</formula>
    </cfRule>
  </conditionalFormatting>
  <conditionalFormatting sqref="I15">
    <cfRule type="expression" priority="9" aboveAverage="0" equalAverage="0" bottom="0" percent="0" rank="0" text="" dxfId="3">
      <formula>AND(ISNUMBER($I$15),$I$15&lt;0)</formula>
    </cfRule>
  </conditionalFormatting>
  <conditionalFormatting sqref="I16">
    <cfRule type="expression" priority="10" aboveAverage="0" equalAverage="0" bottom="0" percent="0" rank="0" text="" dxfId="3">
      <formula>AND(ISNUMBER($I$16),$I$16&lt;0)</formula>
    </cfRule>
  </conditionalFormatting>
  <conditionalFormatting sqref="H30">
    <cfRule type="expression" priority="11" aboveAverage="0" equalAverage="0" bottom="0" percent="0" rank="0" text="" dxfId="4">
      <formula>LEFT(H30,5)="Check"</formula>
    </cfRule>
    <cfRule type="expression" priority="12" aboveAverage="0" equalAverage="0" bottom="0" percent="0" rank="0" text="" dxfId="5">
      <formula>LEFT(H30,2)="OK"</formula>
    </cfRule>
  </conditionalFormatting>
  <conditionalFormatting sqref="H31">
    <cfRule type="expression" priority="13" aboveAverage="0" equalAverage="0" bottom="0" percent="0" rank="0" text="" dxfId="4">
      <formula>LEFT(H31,5)="Check"</formula>
    </cfRule>
    <cfRule type="expression" priority="14" aboveAverage="0" equalAverage="0" bottom="0" percent="0" rank="0" text="" dxfId="5">
      <formula>LEFT(H31,2)="OK"</formula>
    </cfRule>
  </conditionalFormatting>
  <conditionalFormatting sqref="H32">
    <cfRule type="expression" priority="15" aboveAverage="0" equalAverage="0" bottom="0" percent="0" rank="0" text="" dxfId="4">
      <formula>LEFT(H32,5)="Check"</formula>
    </cfRule>
    <cfRule type="expression" priority="16" aboveAverage="0" equalAverage="0" bottom="0" percent="0" rank="0" text="" dxfId="5">
      <formula>LEFT(H32,2)="OK"</formula>
    </cfRule>
  </conditionalFormatting>
  <dataValidations count="1">
    <dataValidation allowBlank="true" error="Enter a number." errorStyle="stop" errorTitle="Value" operator="between" showDropDown="false" showErrorMessage="true" showInputMessage="false" sqref="D8:D12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46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48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75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76</v>
      </c>
      <c r="C7" s="6"/>
      <c r="D7" s="6"/>
    </row>
    <row r="8" customFormat="false" ht="15" hidden="false" customHeight="false" outlineLevel="0" collapsed="false">
      <c r="B8" s="18" t="s">
        <v>77</v>
      </c>
      <c r="C8" s="19" t="n">
        <v>1200000</v>
      </c>
      <c r="D8" s="37" t="s">
        <v>78</v>
      </c>
    </row>
    <row r="9" customFormat="false" ht="15" hidden="false" customHeight="false" outlineLevel="0" collapsed="false">
      <c r="B9" s="18" t="s">
        <v>79</v>
      </c>
      <c r="C9" s="28" t="n">
        <f aca="false">WC_Result</f>
        <v>180000</v>
      </c>
      <c r="D9" s="37" t="s">
        <v>80</v>
      </c>
    </row>
    <row r="10" customFormat="false" ht="15" hidden="false" customHeight="false" outlineLevel="0" collapsed="false">
      <c r="B10" s="18" t="s">
        <v>81</v>
      </c>
      <c r="C10" s="19" t="n">
        <v>1800000</v>
      </c>
      <c r="D10" s="37" t="s">
        <v>82</v>
      </c>
    </row>
    <row r="12" customFormat="false" ht="19.5" hidden="false" customHeight="true" outlineLevel="0" collapsed="false">
      <c r="B12" s="5" t="s">
        <v>83</v>
      </c>
      <c r="C12" s="6"/>
      <c r="D12" s="6"/>
    </row>
    <row r="13" customFormat="false" ht="15" hidden="false" customHeight="false" outlineLevel="0" collapsed="false">
      <c r="B13" s="31" t="s">
        <v>84</v>
      </c>
      <c r="C13" s="38" t="n">
        <f aca="false">IF(AND(ISNUMBER(G_Rev),N(G_Rev)&gt;0,ISNUMBER(G_NewRev)),WC_Result/G_Rev,"—")</f>
        <v>0.15</v>
      </c>
      <c r="D13" s="37" t="s">
        <v>85</v>
      </c>
    </row>
    <row r="14" customFormat="false" ht="15" hidden="false" customHeight="false" outlineLevel="0" collapsed="false">
      <c r="B14" s="31" t="s">
        <v>86</v>
      </c>
      <c r="C14" s="39" t="n">
        <f aca="false">IF(AND(ISNUMBER(G_Rev),N(G_Rev)&gt;0,ISNUMBER(G_NewRev)),G_NewRev*G_Pct,"—")</f>
        <v>270000</v>
      </c>
      <c r="D14" s="37" t="s">
        <v>87</v>
      </c>
    </row>
    <row r="15" customFormat="false" ht="15" hidden="false" customHeight="false" outlineLevel="0" collapsed="false">
      <c r="B15" s="31" t="s">
        <v>88</v>
      </c>
      <c r="C15" s="39" t="n">
        <f aca="false">IF(AND(ISNUMBER(G_Rev),N(G_Rev)&gt;0,ISNUMBER(G_NewRev)),G_Needed-WC_Result,"—")</f>
        <v>90000</v>
      </c>
      <c r="D15" s="37" t="s">
        <v>89</v>
      </c>
    </row>
    <row r="16" customFormat="false" ht="15" hidden="false" customHeight="false" outlineLevel="0" collapsed="false">
      <c r="B16" s="31" t="s">
        <v>90</v>
      </c>
      <c r="C16" s="38" t="n">
        <f aca="false">IF(AND(ISNUMBER(G_Rev),N(G_Rev)&gt;0,ISNUMBER(G_NewRev)),G_NewRev/G_Rev-1,"—")</f>
        <v>0.5</v>
      </c>
      <c r="D16" s="37"/>
    </row>
    <row r="18" customFormat="false" ht="43.5" hidden="false" customHeight="true" outlineLevel="0" collapsed="false">
      <c r="B18" s="20" t="s">
        <v>91</v>
      </c>
      <c r="C18" s="20"/>
      <c r="D18" s="20"/>
    </row>
    <row r="19" customFormat="false" ht="15" hidden="false" customHeight="false" outlineLevel="0" collapsed="false">
      <c r="B19" s="20"/>
      <c r="C19" s="20"/>
      <c r="D19" s="20"/>
    </row>
  </sheetData>
  <mergeCells count="1">
    <mergeCell ref="B18:D19"/>
  </mergeCells>
  <dataValidations count="1">
    <dataValidation allowBlank="true" error="Enter a number." errorStyle="stop" errorTitle="Revenue" operator="between" showDropDown="false" showErrorMessage="true" showInputMessage="false" sqref="C8:C10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P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6" min="3" style="0" width="14"/>
    <col collapsed="false" customWidth="true" hidden="false" outlineLevel="0" max="8" min="7" style="0" width="11"/>
    <col collapsed="false" customWidth="true" hidden="false" outlineLevel="0" max="9" min="9" style="0" width="3"/>
    <col collapsed="false" customWidth="true" hidden="false" outlineLevel="0" max="15" min="10" style="0" width="10"/>
    <col collapsed="false" customWidth="true" hidden="false" outlineLevel="0" max="16" min="1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19.5" hidden="false" customHeight="true" outlineLevel="0" collapsed="false">
      <c r="A3" s="1"/>
      <c r="B3" s="3" t="s">
        <v>92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7" customFormat="false" ht="30" hidden="false" customHeight="true" outlineLevel="0" collapsed="false">
      <c r="B7" s="26" t="s">
        <v>93</v>
      </c>
      <c r="C7" s="27" t="s">
        <v>14</v>
      </c>
      <c r="D7" s="27" t="s">
        <v>16</v>
      </c>
      <c r="E7" s="27" t="s">
        <v>18</v>
      </c>
      <c r="F7" s="27" t="s">
        <v>30</v>
      </c>
      <c r="G7" s="27" t="s">
        <v>32</v>
      </c>
      <c r="H7" s="27" t="s">
        <v>34</v>
      </c>
    </row>
    <row r="8" customFormat="false" ht="15" hidden="false" customHeight="false" outlineLevel="0" collapsed="false">
      <c r="B8" s="40" t="s">
        <v>94</v>
      </c>
      <c r="C8" s="41" t="n">
        <v>455000</v>
      </c>
      <c r="D8" s="41" t="n">
        <v>290000</v>
      </c>
      <c r="E8" s="41" t="n">
        <v>140000</v>
      </c>
      <c r="F8" s="42" t="n">
        <f aca="false">IF(ISNUMBER(D8),N(C8)-D8,"")</f>
        <v>165000</v>
      </c>
      <c r="G8" s="29" t="n">
        <f aca="false">IF(AND(ISNUMBER(D8),N(D8)&gt;0),N(C8)/D8,"")</f>
        <v>1.56896551724138</v>
      </c>
      <c r="H8" s="29" t="n">
        <f aca="false">IF(AND(ISNUMBER(D8),N(D8)&gt;0),(N(C8)-N(E8))/D8,"")</f>
        <v>1.08620689655172</v>
      </c>
    </row>
    <row r="9" customFormat="false" ht="15" hidden="false" customHeight="false" outlineLevel="0" collapsed="false">
      <c r="B9" s="40" t="s">
        <v>95</v>
      </c>
      <c r="C9" s="41" t="n">
        <v>462000</v>
      </c>
      <c r="D9" s="41" t="n">
        <v>292000</v>
      </c>
      <c r="E9" s="41" t="n">
        <v>142000</v>
      </c>
      <c r="F9" s="42" t="n">
        <f aca="false">IF(ISNUMBER(D9),N(C9)-D9,"")</f>
        <v>170000</v>
      </c>
      <c r="G9" s="29" t="n">
        <f aca="false">IF(AND(ISNUMBER(D9),N(D9)&gt;0),N(C9)/D9,"")</f>
        <v>1.58219178082192</v>
      </c>
      <c r="H9" s="29" t="n">
        <f aca="false">IF(AND(ISNUMBER(D9),N(D9)&gt;0),(N(C9)-N(E9))/D9,"")</f>
        <v>1.0958904109589</v>
      </c>
    </row>
    <row r="10" customFormat="false" ht="15" hidden="false" customHeight="false" outlineLevel="0" collapsed="false">
      <c r="B10" s="40" t="s">
        <v>96</v>
      </c>
      <c r="C10" s="41" t="n">
        <v>470000</v>
      </c>
      <c r="D10" s="41" t="n">
        <v>295000</v>
      </c>
      <c r="E10" s="41" t="n">
        <v>146000</v>
      </c>
      <c r="F10" s="42" t="n">
        <f aca="false">IF(ISNUMBER(D10),N(C10)-D10,"")</f>
        <v>175000</v>
      </c>
      <c r="G10" s="29" t="n">
        <f aca="false">IF(AND(ISNUMBER(D10),N(D10)&gt;0),N(C10)/D10,"")</f>
        <v>1.59322033898305</v>
      </c>
      <c r="H10" s="29" t="n">
        <f aca="false">IF(AND(ISNUMBER(D10),N(D10)&gt;0),(N(C10)-N(E10))/D10,"")</f>
        <v>1.09830508474576</v>
      </c>
    </row>
    <row r="11" customFormat="false" ht="15" hidden="false" customHeight="false" outlineLevel="0" collapsed="false">
      <c r="B11" s="40" t="s">
        <v>97</v>
      </c>
      <c r="C11" s="41" t="n">
        <v>468000</v>
      </c>
      <c r="D11" s="41" t="n">
        <v>296000</v>
      </c>
      <c r="E11" s="41" t="n">
        <v>148000</v>
      </c>
      <c r="F11" s="42" t="n">
        <f aca="false">IF(ISNUMBER(D11),N(C11)-D11,"")</f>
        <v>172000</v>
      </c>
      <c r="G11" s="29" t="n">
        <f aca="false">IF(AND(ISNUMBER(D11),N(D11)&gt;0),N(C11)/D11,"")</f>
        <v>1.58108108108108</v>
      </c>
      <c r="H11" s="29" t="n">
        <f aca="false">IF(AND(ISNUMBER(D11),N(D11)&gt;0),(N(C11)-N(E11))/D11,"")</f>
        <v>1.08108108108108</v>
      </c>
    </row>
    <row r="12" customFormat="false" ht="15" hidden="false" customHeight="false" outlineLevel="0" collapsed="false">
      <c r="B12" s="40" t="s">
        <v>98</v>
      </c>
      <c r="C12" s="41" t="n">
        <v>475000</v>
      </c>
      <c r="D12" s="41" t="n">
        <v>298000</v>
      </c>
      <c r="E12" s="41" t="n">
        <v>149000</v>
      </c>
      <c r="F12" s="42" t="n">
        <f aca="false">IF(ISNUMBER(D12),N(C12)-D12,"")</f>
        <v>177000</v>
      </c>
      <c r="G12" s="29" t="n">
        <f aca="false">IF(AND(ISNUMBER(D12),N(D12)&gt;0),N(C12)/D12,"")</f>
        <v>1.59395973154362</v>
      </c>
      <c r="H12" s="29" t="n">
        <f aca="false">IF(AND(ISNUMBER(D12),N(D12)&gt;0),(N(C12)-N(E12))/D12,"")</f>
        <v>1.09395973154362</v>
      </c>
    </row>
    <row r="13" customFormat="false" ht="15" hidden="false" customHeight="false" outlineLevel="0" collapsed="false">
      <c r="B13" s="40" t="s">
        <v>99</v>
      </c>
      <c r="C13" s="41" t="n">
        <v>480000</v>
      </c>
      <c r="D13" s="41" t="n">
        <v>300000</v>
      </c>
      <c r="E13" s="41" t="n">
        <v>150000</v>
      </c>
      <c r="F13" s="42" t="n">
        <f aca="false">IF(ISNUMBER(D13),N(C13)-D13,"")</f>
        <v>180000</v>
      </c>
      <c r="G13" s="29" t="n">
        <f aca="false">IF(AND(ISNUMBER(D13),N(D13)&gt;0),N(C13)/D13,"")</f>
        <v>1.6</v>
      </c>
      <c r="H13" s="29" t="n">
        <f aca="false">IF(AND(ISNUMBER(D13),N(D13)&gt;0),(N(C13)-N(E13))/D13,"")</f>
        <v>1.1</v>
      </c>
    </row>
    <row r="14" customFormat="false" ht="15" hidden="false" customHeight="false" outlineLevel="0" collapsed="false">
      <c r="B14" s="40" t="s">
        <v>100</v>
      </c>
      <c r="C14" s="41" t="n">
        <v>472000</v>
      </c>
      <c r="D14" s="41" t="n">
        <v>303000</v>
      </c>
      <c r="E14" s="41" t="n">
        <v>152000</v>
      </c>
      <c r="F14" s="42" t="n">
        <f aca="false">IF(ISNUMBER(D14),N(C14)-D14,"")</f>
        <v>169000</v>
      </c>
      <c r="G14" s="29" t="n">
        <f aca="false">IF(AND(ISNUMBER(D14),N(D14)&gt;0),N(C14)/D14,"")</f>
        <v>1.55775577557756</v>
      </c>
      <c r="H14" s="29" t="n">
        <f aca="false">IF(AND(ISNUMBER(D14),N(D14)&gt;0),(N(C14)-N(E14))/D14,"")</f>
        <v>1.05610561056106</v>
      </c>
    </row>
    <row r="15" customFormat="false" ht="15" hidden="false" customHeight="false" outlineLevel="0" collapsed="false">
      <c r="B15" s="40" t="s">
        <v>101</v>
      </c>
      <c r="C15" s="41" t="n">
        <v>465000</v>
      </c>
      <c r="D15" s="41" t="n">
        <v>307000</v>
      </c>
      <c r="E15" s="41" t="n">
        <v>155000</v>
      </c>
      <c r="F15" s="42" t="n">
        <f aca="false">IF(ISNUMBER(D15),N(C15)-D15,"")</f>
        <v>158000</v>
      </c>
      <c r="G15" s="29" t="n">
        <f aca="false">IF(AND(ISNUMBER(D15),N(D15)&gt;0),N(C15)/D15,"")</f>
        <v>1.51465798045603</v>
      </c>
      <c r="H15" s="29" t="n">
        <f aca="false">IF(AND(ISNUMBER(D15),N(D15)&gt;0),(N(C15)-N(E15))/D15,"")</f>
        <v>1.00977198697068</v>
      </c>
    </row>
    <row r="16" customFormat="false" ht="15" hidden="false" customHeight="false" outlineLevel="0" collapsed="false">
      <c r="B16" s="40" t="s">
        <v>102</v>
      </c>
      <c r="C16" s="41" t="n">
        <v>458000</v>
      </c>
      <c r="D16" s="41" t="n">
        <v>310000</v>
      </c>
      <c r="E16" s="41" t="n">
        <v>157000</v>
      </c>
      <c r="F16" s="42" t="n">
        <f aca="false">IF(ISNUMBER(D16),N(C16)-D16,"")</f>
        <v>148000</v>
      </c>
      <c r="G16" s="29" t="n">
        <f aca="false">IF(AND(ISNUMBER(D16),N(D16)&gt;0),N(C16)/D16,"")</f>
        <v>1.47741935483871</v>
      </c>
      <c r="H16" s="29" t="n">
        <f aca="false">IF(AND(ISNUMBER(D16),N(D16)&gt;0),(N(C16)-N(E16))/D16,"")</f>
        <v>0.970967741935484</v>
      </c>
    </row>
    <row r="17" customFormat="false" ht="15" hidden="false" customHeight="false" outlineLevel="0" collapsed="false">
      <c r="B17" s="40" t="s">
        <v>103</v>
      </c>
      <c r="C17" s="41" t="n">
        <v>450000</v>
      </c>
      <c r="D17" s="41" t="n">
        <v>314000</v>
      </c>
      <c r="E17" s="41" t="n">
        <v>160000</v>
      </c>
      <c r="F17" s="42" t="n">
        <f aca="false">IF(ISNUMBER(D17),N(C17)-D17,"")</f>
        <v>136000</v>
      </c>
      <c r="G17" s="29" t="n">
        <f aca="false">IF(AND(ISNUMBER(D17),N(D17)&gt;0),N(C17)/D17,"")</f>
        <v>1.43312101910828</v>
      </c>
      <c r="H17" s="29" t="n">
        <f aca="false">IF(AND(ISNUMBER(D17),N(D17)&gt;0),(N(C17)-N(E17))/D17,"")</f>
        <v>0.923566878980892</v>
      </c>
    </row>
    <row r="18" customFormat="false" ht="15" hidden="false" customHeight="false" outlineLevel="0" collapsed="false">
      <c r="B18" s="40" t="s">
        <v>104</v>
      </c>
      <c r="C18" s="41" t="n">
        <v>441000</v>
      </c>
      <c r="D18" s="41" t="n">
        <v>318000</v>
      </c>
      <c r="E18" s="41" t="n">
        <v>163000</v>
      </c>
      <c r="F18" s="42" t="n">
        <f aca="false">IF(ISNUMBER(D18),N(C18)-D18,"")</f>
        <v>123000</v>
      </c>
      <c r="G18" s="29" t="n">
        <f aca="false">IF(AND(ISNUMBER(D18),N(D18)&gt;0),N(C18)/D18,"")</f>
        <v>1.38679245283019</v>
      </c>
      <c r="H18" s="29" t="n">
        <f aca="false">IF(AND(ISNUMBER(D18),N(D18)&gt;0),(N(C18)-N(E18))/D18,"")</f>
        <v>0.874213836477987</v>
      </c>
    </row>
    <row r="19" customFormat="false" ht="15" hidden="false" customHeight="false" outlineLevel="0" collapsed="false">
      <c r="B19" s="40" t="s">
        <v>105</v>
      </c>
      <c r="C19" s="41" t="n">
        <v>436000</v>
      </c>
      <c r="D19" s="41" t="n">
        <v>322000</v>
      </c>
      <c r="E19" s="41" t="n">
        <v>166000</v>
      </c>
      <c r="F19" s="42" t="n">
        <f aca="false">IF(ISNUMBER(D19),N(C19)-D19,"")</f>
        <v>114000</v>
      </c>
      <c r="G19" s="29" t="n">
        <f aca="false">IF(AND(ISNUMBER(D19),N(D19)&gt;0),N(C19)/D19,"")</f>
        <v>1.35403726708075</v>
      </c>
      <c r="H19" s="29" t="n">
        <f aca="false">IF(AND(ISNUMBER(D19),N(D19)&gt;0),(N(C19)-N(E19))/D19,"")</f>
        <v>0.838509316770186</v>
      </c>
    </row>
    <row r="21" customFormat="false" ht="19.5" hidden="false" customHeight="true" outlineLevel="0" collapsed="false">
      <c r="B21" s="5" t="s">
        <v>106</v>
      </c>
      <c r="C21" s="6"/>
      <c r="D21" s="6"/>
      <c r="E21" s="6"/>
      <c r="F21" s="6"/>
      <c r="G21" s="6"/>
      <c r="H21" s="6"/>
    </row>
    <row r="22" customFormat="false" ht="15" hidden="false" customHeight="false" outlineLevel="0" collapsed="false">
      <c r="B22" s="43" t="s">
        <v>107</v>
      </c>
      <c r="C22" s="43"/>
      <c r="D22" s="43"/>
      <c r="E22" s="43"/>
      <c r="F22" s="44" t="n">
        <f aca="false">IF(COUNT(F8:F19)&gt;0,LOOKUP(2,1/ISNUMBER(F8:F19),F8:F19),"—")</f>
        <v>114000</v>
      </c>
    </row>
    <row r="23" customFormat="false" ht="15" hidden="false" customHeight="false" outlineLevel="0" collapsed="false">
      <c r="B23" s="43" t="s">
        <v>108</v>
      </c>
      <c r="C23" s="43"/>
      <c r="D23" s="43"/>
      <c r="E23" s="43"/>
      <c r="F23" s="45" t="n">
        <f aca="false">IF(COUNT(F8:F19)&gt;1,T_Last-INDEX(F8:F19,MATCH(TRUE(),INDEX(ISNUMBER(F8:F19),0),0)),"—")</f>
        <v>-51000</v>
      </c>
    </row>
    <row r="24" customFormat="false" ht="15" hidden="false" customHeight="false" outlineLevel="0" collapsed="false">
      <c r="B24" s="43" t="s">
        <v>109</v>
      </c>
      <c r="C24" s="43"/>
      <c r="D24" s="43"/>
      <c r="E24" s="43"/>
      <c r="F24" s="46" t="n">
        <f aca="false">IF(COUNT(G8:G19)&gt;0,MIN(G8:G19),"—")</f>
        <v>1.35403726708075</v>
      </c>
    </row>
    <row r="25" customFormat="false" ht="15" hidden="false" customHeight="false" outlineLevel="0" collapsed="false">
      <c r="B25" s="43"/>
      <c r="C25" s="43"/>
      <c r="D25" s="43"/>
      <c r="E25" s="43"/>
      <c r="F25" s="47"/>
    </row>
    <row r="26" customFormat="false" ht="30" hidden="false" customHeight="true" outlineLevel="0" collapsed="false">
      <c r="B26" s="20" t="s">
        <v>110</v>
      </c>
      <c r="C26" s="20"/>
      <c r="D26" s="20"/>
      <c r="E26" s="20"/>
      <c r="F26" s="20"/>
      <c r="G26" s="20"/>
      <c r="H26" s="20"/>
    </row>
    <row r="27" customFormat="false" ht="15" hidden="false" customHeight="false" outlineLevel="0" collapsed="false">
      <c r="B27" s="20"/>
      <c r="C27" s="20"/>
      <c r="D27" s="20"/>
      <c r="E27" s="20"/>
      <c r="F27" s="20"/>
      <c r="G27" s="20"/>
      <c r="H27" s="20"/>
    </row>
  </sheetData>
  <mergeCells count="5">
    <mergeCell ref="B22:E22"/>
    <mergeCell ref="B23:E23"/>
    <mergeCell ref="B24:E24"/>
    <mergeCell ref="B25:E25"/>
    <mergeCell ref="B26:H27"/>
  </mergeCells>
  <conditionalFormatting sqref="F8">
    <cfRule type="expression" priority="2" aboveAverage="0" equalAverage="0" bottom="0" percent="0" rank="0" text="" dxfId="0">
      <formula>AND(ISNUMBER($F$8),$F$8&lt;0)</formula>
    </cfRule>
  </conditionalFormatting>
  <conditionalFormatting sqref="F9">
    <cfRule type="expression" priority="3" aboveAverage="0" equalAverage="0" bottom="0" percent="0" rank="0" text="" dxfId="0">
      <formula>AND(ISNUMBER($F$9),$F$9&lt;0)</formula>
    </cfRule>
  </conditionalFormatting>
  <conditionalFormatting sqref="F10">
    <cfRule type="expression" priority="4" aboveAverage="0" equalAverage="0" bottom="0" percent="0" rank="0" text="" dxfId="0">
      <formula>AND(ISNUMBER($F$10),$F$10&lt;0)</formula>
    </cfRule>
  </conditionalFormatting>
  <conditionalFormatting sqref="F11">
    <cfRule type="expression" priority="5" aboveAverage="0" equalAverage="0" bottom="0" percent="0" rank="0" text="" dxfId="0">
      <formula>AND(ISNUMBER($F$11),$F$11&lt;0)</formula>
    </cfRule>
  </conditionalFormatting>
  <conditionalFormatting sqref="F12">
    <cfRule type="expression" priority="6" aboveAverage="0" equalAverage="0" bottom="0" percent="0" rank="0" text="" dxfId="0">
      <formula>AND(ISNUMBER($F$12),$F$12&lt;0)</formula>
    </cfRule>
  </conditionalFormatting>
  <conditionalFormatting sqref="F13">
    <cfRule type="expression" priority="7" aboveAverage="0" equalAverage="0" bottom="0" percent="0" rank="0" text="" dxfId="0">
      <formula>AND(ISNUMBER($F$13),$F$13&lt;0)</formula>
    </cfRule>
  </conditionalFormatting>
  <conditionalFormatting sqref="F14">
    <cfRule type="expression" priority="8" aboveAverage="0" equalAverage="0" bottom="0" percent="0" rank="0" text="" dxfId="0">
      <formula>AND(ISNUMBER($F$14),$F$14&lt;0)</formula>
    </cfRule>
  </conditionalFormatting>
  <conditionalFormatting sqref="F15">
    <cfRule type="expression" priority="9" aboveAverage="0" equalAverage="0" bottom="0" percent="0" rank="0" text="" dxfId="0">
      <formula>AND(ISNUMBER($F$15),$F$15&lt;0)</formula>
    </cfRule>
  </conditionalFormatting>
  <conditionalFormatting sqref="F16">
    <cfRule type="expression" priority="10" aboveAverage="0" equalAverage="0" bottom="0" percent="0" rank="0" text="" dxfId="0">
      <formula>AND(ISNUMBER($F$16),$F$16&lt;0)</formula>
    </cfRule>
  </conditionalFormatting>
  <conditionalFormatting sqref="F17">
    <cfRule type="expression" priority="11" aboveAverage="0" equalAverage="0" bottom="0" percent="0" rank="0" text="" dxfId="0">
      <formula>AND(ISNUMBER($F$17),$F$17&lt;0)</formula>
    </cfRule>
  </conditionalFormatting>
  <conditionalFormatting sqref="F18">
    <cfRule type="expression" priority="12" aboveAverage="0" equalAverage="0" bottom="0" percent="0" rank="0" text="" dxfId="0">
      <formula>AND(ISNUMBER($F$18),$F$18&lt;0)</formula>
    </cfRule>
  </conditionalFormatting>
  <conditionalFormatting sqref="F19">
    <cfRule type="expression" priority="13" aboveAverage="0" equalAverage="0" bottom="0" percent="0" rank="0" text="" dxfId="0">
      <formula>AND(ISNUMBER($F$19),$F$19&lt;0)</formula>
    </cfRule>
  </conditionalFormatting>
  <dataValidations count="1">
    <dataValidation allowBlank="true" error="Enter a number." errorStyle="stop" errorTitle="Value" operator="between" showDropDown="false" showErrorMessage="true" showInputMessage="false" sqref="C8:E19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52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111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112</v>
      </c>
      <c r="C7" s="6"/>
      <c r="D7" s="6"/>
      <c r="E7" s="6"/>
      <c r="F7" s="6"/>
    </row>
    <row r="8" customFormat="false" ht="30" hidden="false" customHeight="true" outlineLevel="0" collapsed="false">
      <c r="B8" s="7" t="s">
        <v>113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14</v>
      </c>
      <c r="C9" s="19" t="n">
        <v>480000</v>
      </c>
    </row>
    <row r="10" customFormat="false" ht="15" hidden="false" customHeight="false" outlineLevel="0" collapsed="false">
      <c r="B10" s="18" t="s">
        <v>16</v>
      </c>
      <c r="C10" s="19" t="n">
        <v>300000</v>
      </c>
    </row>
    <row r="11" customFormat="false" ht="15" hidden="false" customHeight="false" outlineLevel="0" collapsed="false">
      <c r="B11" s="18" t="s">
        <v>18</v>
      </c>
      <c r="C11" s="19" t="n">
        <v>150000</v>
      </c>
    </row>
    <row r="12" customFormat="false" ht="15" hidden="false" customHeight="true" outlineLevel="0" collapsed="false">
      <c r="B12" s="31" t="s">
        <v>30</v>
      </c>
      <c r="C12" s="39" t="n">
        <f aca="false">C9-C10</f>
        <v>180000</v>
      </c>
      <c r="D12" s="20" t="s">
        <v>114</v>
      </c>
      <c r="E12" s="20"/>
      <c r="F12" s="20"/>
    </row>
    <row r="13" customFormat="false" ht="15" hidden="false" customHeight="true" outlineLevel="0" collapsed="false">
      <c r="B13" s="31" t="s">
        <v>32</v>
      </c>
      <c r="C13" s="46" t="n">
        <f aca="false">C9/C10</f>
        <v>1.6</v>
      </c>
      <c r="D13" s="20" t="s">
        <v>115</v>
      </c>
      <c r="E13" s="20"/>
      <c r="F13" s="20"/>
    </row>
    <row r="14" customFormat="false" ht="15" hidden="false" customHeight="true" outlineLevel="0" collapsed="false">
      <c r="B14" s="31" t="s">
        <v>34</v>
      </c>
      <c r="C14" s="46" t="n">
        <f aca="false">(C9-C11)/C10</f>
        <v>1.1</v>
      </c>
      <c r="D14" s="20" t="s">
        <v>116</v>
      </c>
      <c r="E14" s="20"/>
      <c r="F14" s="20"/>
    </row>
    <row r="16" customFormat="false" ht="19.5" hidden="false" customHeight="true" outlineLevel="0" collapsed="false">
      <c r="B16" s="5" t="s">
        <v>117</v>
      </c>
      <c r="C16" s="6"/>
      <c r="D16" s="6"/>
      <c r="E16" s="6"/>
      <c r="F16" s="6"/>
    </row>
    <row r="17" customFormat="false" ht="30" hidden="false" customHeight="true" outlineLevel="0" collapsed="false">
      <c r="B17" s="7" t="s">
        <v>118</v>
      </c>
      <c r="C17" s="7"/>
      <c r="D17" s="7"/>
      <c r="E17" s="7"/>
      <c r="F17" s="7"/>
    </row>
    <row r="18" customFormat="false" ht="15" hidden="false" customHeight="false" outlineLevel="0" collapsed="false">
      <c r="B18" s="18" t="s">
        <v>14</v>
      </c>
      <c r="C18" s="19" t="n">
        <v>220000</v>
      </c>
    </row>
    <row r="19" customFormat="false" ht="15" hidden="false" customHeight="false" outlineLevel="0" collapsed="false">
      <c r="B19" s="18" t="s">
        <v>16</v>
      </c>
      <c r="C19" s="19" t="n">
        <v>300000</v>
      </c>
    </row>
    <row r="20" customFormat="false" ht="15" hidden="false" customHeight="true" outlineLevel="0" collapsed="false">
      <c r="B20" s="31" t="s">
        <v>30</v>
      </c>
      <c r="C20" s="39" t="n">
        <f aca="false">C18-C19</f>
        <v>-80000</v>
      </c>
      <c r="D20" s="20" t="s">
        <v>119</v>
      </c>
      <c r="E20" s="20"/>
      <c r="F20" s="20"/>
    </row>
    <row r="21" customFormat="false" ht="15" hidden="false" customHeight="true" outlineLevel="0" collapsed="false">
      <c r="B21" s="31" t="s">
        <v>32</v>
      </c>
      <c r="C21" s="46" t="n">
        <f aca="false">C18/C19</f>
        <v>0.733333333333333</v>
      </c>
      <c r="D21" s="20" t="s">
        <v>120</v>
      </c>
      <c r="E21" s="20"/>
      <c r="F21" s="20"/>
    </row>
    <row r="23" customFormat="false" ht="19.5" hidden="false" customHeight="true" outlineLevel="0" collapsed="false">
      <c r="B23" s="5" t="s">
        <v>121</v>
      </c>
      <c r="C23" s="6"/>
      <c r="D23" s="6"/>
      <c r="E23" s="6"/>
      <c r="F23" s="6"/>
    </row>
    <row r="24" customFormat="false" ht="30" hidden="false" customHeight="true" outlineLevel="0" collapsed="false">
      <c r="B24" s="7" t="s">
        <v>122</v>
      </c>
      <c r="C24" s="7"/>
      <c r="D24" s="7"/>
      <c r="E24" s="7"/>
      <c r="F24" s="7"/>
    </row>
    <row r="25" customFormat="false" ht="15" hidden="false" customHeight="false" outlineLevel="0" collapsed="false">
      <c r="B25" s="18" t="s">
        <v>123</v>
      </c>
      <c r="C25" s="19" t="n">
        <v>1200000</v>
      </c>
    </row>
    <row r="26" customFormat="false" ht="15" hidden="false" customHeight="false" outlineLevel="0" collapsed="false">
      <c r="B26" s="18" t="s">
        <v>79</v>
      </c>
      <c r="C26" s="19" t="n">
        <v>180000</v>
      </c>
    </row>
    <row r="27" customFormat="false" ht="15" hidden="false" customHeight="false" outlineLevel="0" collapsed="false">
      <c r="B27" s="18" t="s">
        <v>124</v>
      </c>
      <c r="C27" s="19" t="n">
        <v>1800000</v>
      </c>
    </row>
    <row r="28" customFormat="false" ht="15" hidden="false" customHeight="true" outlineLevel="0" collapsed="false">
      <c r="B28" s="31" t="s">
        <v>84</v>
      </c>
      <c r="C28" s="38" t="n">
        <f aca="false">C26/C25</f>
        <v>0.15</v>
      </c>
      <c r="D28" s="20" t="s">
        <v>125</v>
      </c>
      <c r="E28" s="20"/>
      <c r="F28" s="20"/>
    </row>
    <row r="29" customFormat="false" ht="15" hidden="false" customHeight="true" outlineLevel="0" collapsed="false">
      <c r="B29" s="31" t="s">
        <v>126</v>
      </c>
      <c r="C29" s="39" t="n">
        <f aca="false">C27*C28</f>
        <v>270000</v>
      </c>
      <c r="D29" s="20" t="s">
        <v>127</v>
      </c>
      <c r="E29" s="20"/>
      <c r="F29" s="20"/>
    </row>
    <row r="30" customFormat="false" ht="15" hidden="false" customHeight="true" outlineLevel="0" collapsed="false">
      <c r="B30" s="31" t="s">
        <v>88</v>
      </c>
      <c r="C30" s="39" t="n">
        <f aca="false">C29-C26</f>
        <v>90000</v>
      </c>
      <c r="D30" s="20" t="s">
        <v>128</v>
      </c>
      <c r="E30" s="20"/>
      <c r="F30" s="20"/>
    </row>
    <row r="32" customFormat="false" ht="15" hidden="false" customHeight="true" outlineLevel="0" collapsed="false">
      <c r="B32" s="15" t="s">
        <v>129</v>
      </c>
      <c r="C32" s="15"/>
      <c r="D32" s="15"/>
      <c r="E32" s="15"/>
      <c r="F32" s="15"/>
    </row>
  </sheetData>
  <mergeCells count="12">
    <mergeCell ref="B8:F8"/>
    <mergeCell ref="D12:F12"/>
    <mergeCell ref="D13:F13"/>
    <mergeCell ref="D14:F14"/>
    <mergeCell ref="B17:F17"/>
    <mergeCell ref="D20:F20"/>
    <mergeCell ref="D21:F21"/>
    <mergeCell ref="B24:F24"/>
    <mergeCell ref="D28:F28"/>
    <mergeCell ref="D29:F29"/>
    <mergeCell ref="D30:F30"/>
    <mergeCell ref="B32:F32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54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130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131</v>
      </c>
      <c r="C7" s="6"/>
      <c r="D7" s="6"/>
    </row>
    <row r="8" customFormat="false" ht="19.5" hidden="false" customHeight="true" outlineLevel="0" collapsed="false">
      <c r="B8" s="26" t="s">
        <v>83</v>
      </c>
      <c r="C8" s="27" t="s">
        <v>132</v>
      </c>
      <c r="D8" s="27" t="s">
        <v>133</v>
      </c>
    </row>
    <row r="9" customFormat="false" ht="30" hidden="false" customHeight="true" outlineLevel="0" collapsed="false">
      <c r="B9" s="48" t="s">
        <v>30</v>
      </c>
      <c r="C9" s="49" t="s">
        <v>134</v>
      </c>
      <c r="D9" s="50" t="s">
        <v>135</v>
      </c>
    </row>
    <row r="10" customFormat="false" ht="30" hidden="false" customHeight="true" outlineLevel="0" collapsed="false">
      <c r="B10" s="48" t="s">
        <v>32</v>
      </c>
      <c r="C10" s="49" t="s">
        <v>136</v>
      </c>
      <c r="D10" s="50" t="s">
        <v>137</v>
      </c>
    </row>
    <row r="11" customFormat="false" ht="30" hidden="false" customHeight="true" outlineLevel="0" collapsed="false">
      <c r="B11" s="48" t="s">
        <v>34</v>
      </c>
      <c r="C11" s="49" t="s">
        <v>138</v>
      </c>
      <c r="D11" s="50" t="s">
        <v>139</v>
      </c>
    </row>
    <row r="12" customFormat="false" ht="30" hidden="false" customHeight="true" outlineLevel="0" collapsed="false">
      <c r="B12" s="48" t="s">
        <v>70</v>
      </c>
      <c r="C12" s="49" t="s">
        <v>140</v>
      </c>
      <c r="D12" s="50" t="s">
        <v>137</v>
      </c>
    </row>
    <row r="13" customFormat="false" ht="30" hidden="false" customHeight="true" outlineLevel="0" collapsed="false">
      <c r="B13" s="48" t="s">
        <v>141</v>
      </c>
      <c r="C13" s="49" t="s">
        <v>142</v>
      </c>
      <c r="D13" s="50" t="s">
        <v>143</v>
      </c>
    </row>
    <row r="15" customFormat="false" ht="19.5" hidden="false" customHeight="true" outlineLevel="0" collapsed="false">
      <c r="B15" s="5" t="s">
        <v>144</v>
      </c>
      <c r="C15" s="6"/>
      <c r="D15" s="6"/>
    </row>
    <row r="16" customFormat="false" ht="18" hidden="false" customHeight="true" outlineLevel="0" collapsed="false">
      <c r="B16" s="7" t="s">
        <v>145</v>
      </c>
      <c r="C16" s="7"/>
      <c r="D16" s="7"/>
    </row>
    <row r="17" customFormat="false" ht="18" hidden="false" customHeight="true" outlineLevel="0" collapsed="false">
      <c r="B17" s="7" t="s">
        <v>146</v>
      </c>
      <c r="C17" s="7"/>
      <c r="D17" s="7"/>
    </row>
    <row r="18" customFormat="false" ht="18" hidden="false" customHeight="true" outlineLevel="0" collapsed="false">
      <c r="B18" s="7" t="s">
        <v>147</v>
      </c>
      <c r="C18" s="7"/>
      <c r="D18" s="7"/>
    </row>
    <row r="19" customFormat="false" ht="30" hidden="false" customHeight="true" outlineLevel="0" collapsed="false">
      <c r="B19" s="7" t="s">
        <v>148</v>
      </c>
      <c r="C19" s="7"/>
      <c r="D19" s="7"/>
    </row>
    <row r="21" customFormat="false" ht="19.5" hidden="false" customHeight="true" outlineLevel="0" collapsed="false">
      <c r="B21" s="5" t="s">
        <v>149</v>
      </c>
      <c r="C21" s="6"/>
      <c r="D21" s="6"/>
    </row>
    <row r="22" customFormat="false" ht="18" hidden="false" customHeight="true" outlineLevel="0" collapsed="false">
      <c r="B22" s="8" t="s">
        <v>150</v>
      </c>
      <c r="C22" s="7" t="s">
        <v>151</v>
      </c>
      <c r="D22" s="7"/>
    </row>
    <row r="23" customFormat="false" ht="18" hidden="false" customHeight="true" outlineLevel="0" collapsed="false">
      <c r="B23" s="8" t="s">
        <v>30</v>
      </c>
      <c r="C23" s="51" t="s">
        <v>152</v>
      </c>
      <c r="D23" s="51"/>
    </row>
    <row r="24" customFormat="false" ht="18" hidden="false" customHeight="true" outlineLevel="0" collapsed="false">
      <c r="B24" s="8" t="s">
        <v>32</v>
      </c>
      <c r="C24" s="51" t="s">
        <v>153</v>
      </c>
      <c r="D24" s="51"/>
    </row>
    <row r="25" customFormat="false" ht="18" hidden="false" customHeight="true" outlineLevel="0" collapsed="false">
      <c r="B25" s="8" t="s">
        <v>34</v>
      </c>
      <c r="C25" s="51" t="s">
        <v>154</v>
      </c>
      <c r="D25" s="51"/>
    </row>
    <row r="27" customFormat="false" ht="19.5" hidden="false" customHeight="true" outlineLevel="0" collapsed="false">
      <c r="B27" s="5" t="s">
        <v>155</v>
      </c>
      <c r="C27" s="6"/>
      <c r="D27" s="6"/>
    </row>
    <row r="28" customFormat="false" ht="15" hidden="false" customHeight="false" outlineLevel="0" collapsed="false">
      <c r="B28" s="52" t="s">
        <v>156</v>
      </c>
      <c r="C28" s="18" t="s">
        <v>157</v>
      </c>
    </row>
    <row r="29" customFormat="false" ht="15" hidden="false" customHeight="false" outlineLevel="0" collapsed="false">
      <c r="B29" s="52" t="s">
        <v>158</v>
      </c>
      <c r="C29" s="18" t="s">
        <v>159</v>
      </c>
    </row>
    <row r="30" customFormat="false" ht="15" hidden="false" customHeight="false" outlineLevel="0" collapsed="false">
      <c r="B30" s="52" t="s">
        <v>18</v>
      </c>
      <c r="C30" s="18" t="s">
        <v>160</v>
      </c>
    </row>
    <row r="31" customFormat="false" ht="15" hidden="false" customHeight="false" outlineLevel="0" collapsed="false">
      <c r="B31" s="52" t="s">
        <v>161</v>
      </c>
      <c r="C31" s="18" t="s">
        <v>162</v>
      </c>
    </row>
    <row r="32" customFormat="false" ht="15" hidden="false" customHeight="false" outlineLevel="0" collapsed="false">
      <c r="B32" s="52" t="s">
        <v>163</v>
      </c>
      <c r="C32" s="18" t="s">
        <v>164</v>
      </c>
    </row>
    <row r="33" customFormat="false" ht="15" hidden="false" customHeight="false" outlineLevel="0" collapsed="false">
      <c r="B33" s="52" t="s">
        <v>165</v>
      </c>
      <c r="C33" s="18" t="s">
        <v>166</v>
      </c>
    </row>
    <row r="34" customFormat="false" ht="15" hidden="false" customHeight="false" outlineLevel="0" collapsed="false">
      <c r="B34" s="52" t="s">
        <v>167</v>
      </c>
      <c r="C34" s="18" t="s">
        <v>168</v>
      </c>
    </row>
  </sheetData>
  <mergeCells count="8">
    <mergeCell ref="B16:D16"/>
    <mergeCell ref="B17:D17"/>
    <mergeCell ref="B18:D18"/>
    <mergeCell ref="B19:D19"/>
    <mergeCell ref="C22:D22"/>
    <mergeCell ref="C23:D23"/>
    <mergeCell ref="C24:D24"/>
    <mergeCell ref="C25:D25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56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169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26" t="s">
        <v>170</v>
      </c>
      <c r="C7" s="27" t="s">
        <v>171</v>
      </c>
      <c r="D7" s="27" t="s">
        <v>172</v>
      </c>
      <c r="E7" s="27" t="s">
        <v>83</v>
      </c>
    </row>
    <row r="8" customFormat="false" ht="15" hidden="false" customHeight="false" outlineLevel="0" collapsed="false">
      <c r="B8" s="53" t="s">
        <v>173</v>
      </c>
      <c r="C8" s="54" t="n">
        <f aca="false">'Worked Examples'!C12</f>
        <v>180000</v>
      </c>
      <c r="D8" s="55" t="n">
        <v>180000</v>
      </c>
      <c r="E8" s="56" t="str">
        <f aca="false">IF(ISNUMBER(C8),IF(ROUND(C8,2)=ROUND(D8,2),"PASS","FAIL"),"FAIL")</f>
        <v>PASS</v>
      </c>
    </row>
    <row r="9" customFormat="false" ht="15" hidden="false" customHeight="false" outlineLevel="0" collapsed="false">
      <c r="B9" s="53" t="s">
        <v>174</v>
      </c>
      <c r="C9" s="57" t="n">
        <f aca="false">'Worked Examples'!C13</f>
        <v>1.6</v>
      </c>
      <c r="D9" s="58" t="n">
        <v>1.6</v>
      </c>
      <c r="E9" s="56" t="str">
        <f aca="false">IF(ISNUMBER(C9),IF(ROUND(C9,2)=ROUND(D9,2),"PASS","FAIL"),"FAIL")</f>
        <v>PASS</v>
      </c>
    </row>
    <row r="10" customFormat="false" ht="15" hidden="false" customHeight="false" outlineLevel="0" collapsed="false">
      <c r="B10" s="53" t="s">
        <v>175</v>
      </c>
      <c r="C10" s="57" t="n">
        <f aca="false">'Worked Examples'!C14</f>
        <v>1.1</v>
      </c>
      <c r="D10" s="58" t="n">
        <v>1.1</v>
      </c>
      <c r="E10" s="56" t="str">
        <f aca="false">IF(ISNUMBER(C10),IF(ROUND(C10,2)=ROUND(D10,2),"PASS","FAIL"),"FAIL")</f>
        <v>PASS</v>
      </c>
    </row>
    <row r="11" customFormat="false" ht="15" hidden="false" customHeight="false" outlineLevel="0" collapsed="false">
      <c r="B11" s="53" t="s">
        <v>176</v>
      </c>
      <c r="C11" s="54" t="n">
        <f aca="false">'Worked Examples'!C20</f>
        <v>-80000</v>
      </c>
      <c r="D11" s="55" t="n">
        <v>-80000</v>
      </c>
      <c r="E11" s="56" t="str">
        <f aca="false">IF(ISNUMBER(C11),IF(ROUND(C11,2)=ROUND(D11,2),"PASS","FAIL"),"FAIL")</f>
        <v>PASS</v>
      </c>
    </row>
    <row r="12" customFormat="false" ht="15" hidden="false" customHeight="false" outlineLevel="0" collapsed="false">
      <c r="B12" s="53" t="s">
        <v>177</v>
      </c>
      <c r="C12" s="57" t="n">
        <f aca="false">'Worked Examples'!C21</f>
        <v>0.733333333333333</v>
      </c>
      <c r="D12" s="58" t="n">
        <v>0.73</v>
      </c>
      <c r="E12" s="56" t="str">
        <f aca="false">IF(ISNUMBER(C12),IF(ROUND(C12,2)=ROUND(D12,2),"PASS","FAIL"),"FAIL")</f>
        <v>PASS</v>
      </c>
    </row>
    <row r="13" customFormat="false" ht="15" hidden="false" customHeight="false" outlineLevel="0" collapsed="false">
      <c r="B13" s="53" t="s">
        <v>178</v>
      </c>
      <c r="C13" s="54" t="n">
        <f aca="false">'Worked Examples'!C29</f>
        <v>270000</v>
      </c>
      <c r="D13" s="55" t="n">
        <v>270000</v>
      </c>
      <c r="E13" s="56" t="str">
        <f aca="false">IF(ISNUMBER(C13),IF(ROUND(C13,2)=ROUND(D13,2),"PASS","FAIL"),"FAIL")</f>
        <v>PASS</v>
      </c>
    </row>
    <row r="14" customFormat="false" ht="15" hidden="false" customHeight="false" outlineLevel="0" collapsed="false">
      <c r="B14" s="53" t="s">
        <v>179</v>
      </c>
      <c r="C14" s="54" t="n">
        <f aca="false">'Worked Examples'!C30</f>
        <v>90000</v>
      </c>
      <c r="D14" s="55" t="n">
        <v>90000</v>
      </c>
      <c r="E14" s="56" t="str">
        <f aca="false">IF(ISNUMBER(C14),IF(ROUND(C14,2)=ROUND(D14,2),"PASS","FAIL"),"FAIL")</f>
        <v>PASS</v>
      </c>
    </row>
    <row r="15" customFormat="false" ht="27.75" hidden="false" customHeight="true" outlineLevel="0" collapsed="false">
      <c r="B15" s="53" t="s">
        <v>180</v>
      </c>
      <c r="C15" s="59"/>
      <c r="D15" s="59"/>
      <c r="E15" s="56" t="str">
        <f aca="false">IF(ISNUMBER(Current_Ratio),IF(ABS(Current_Ratio-1-WC_Result/Current_Liab)&lt;0.000000001,"PASS","FAIL"),"N/A")</f>
        <v>PASS</v>
      </c>
    </row>
    <row r="16" customFormat="false" ht="27.75" hidden="false" customHeight="true" outlineLevel="0" collapsed="false">
      <c r="B16" s="53" t="s">
        <v>181</v>
      </c>
      <c r="C16" s="59"/>
      <c r="D16" s="59"/>
      <c r="E16" s="56" t="str">
        <f aca="false">IF(ISNUMBER(Quick_Ratio),IF(ABS(Current_Ratio-Quick_Ratio-N(Inventory)/Current_Liab)&lt;0.000000001,"PASS","FAIL"),"N/A")</f>
        <v>PASS</v>
      </c>
    </row>
    <row r="17" customFormat="false" ht="27.75" hidden="false" customHeight="true" outlineLevel="0" collapsed="false">
      <c r="B17" s="53" t="s">
        <v>182</v>
      </c>
      <c r="C17" s="59"/>
      <c r="D17" s="59"/>
      <c r="E17" s="56" t="str">
        <f aca="false">IF(ISNUMBER(Current_Ratio),IF(ABS('Working Capital Calculator'!C20-WC_Result)&lt;0.000001*MAX(1,ABS(WC_Result)),"PASS","FAIL"),"N/A")</f>
        <v>PASS</v>
      </c>
    </row>
    <row r="18" customFormat="false" ht="15.75" hidden="false" customHeight="true" outlineLevel="0" collapsed="false">
      <c r="B18" s="53" t="s">
        <v>183</v>
      </c>
      <c r="C18" s="59"/>
      <c r="D18" s="59"/>
      <c r="E18" s="56" t="str">
        <f aca="false">IF(ISNUMBER(G_Needed),IF(N(G_NewRev)=0,"N/A",IF(ABS(G_Needed/G_NewRev-G_Pct)&lt;0.000000001,"PASS","FAIL")),"N/A")</f>
        <v>PASS</v>
      </c>
    </row>
    <row r="20" customFormat="false" ht="15" hidden="false" customHeight="false" outlineLevel="0" collapsed="false">
      <c r="B20" s="60" t="s">
        <v>184</v>
      </c>
      <c r="E20" s="61" t="str">
        <f aca="false">IF(AND(COUNTIF(E8:E18,"FAIL")=0,SUMPRODUCT(--ISERROR(C8:E18))=0),"ALL PASS","REVIEW")</f>
        <v>ALL PASS</v>
      </c>
    </row>
    <row r="22" customFormat="false" ht="43.5" hidden="false" customHeight="true" outlineLevel="0" collapsed="false">
      <c r="B22" s="20" t="s">
        <v>185</v>
      </c>
      <c r="C22" s="20"/>
      <c r="D22" s="20"/>
      <c r="E22" s="20"/>
    </row>
  </sheetData>
  <mergeCells count="1">
    <mergeCell ref="B22:E22"/>
  </mergeCells>
  <conditionalFormatting sqref="E8">
    <cfRule type="expression" priority="2" aboveAverage="0" equalAverage="0" bottom="0" percent="0" rank="0" text="" dxfId="6">
      <formula>E8="FAIL"</formula>
    </cfRule>
  </conditionalFormatting>
  <conditionalFormatting sqref="E9">
    <cfRule type="expression" priority="3" aboveAverage="0" equalAverage="0" bottom="0" percent="0" rank="0" text="" dxfId="6">
      <formula>E9="FAIL"</formula>
    </cfRule>
  </conditionalFormatting>
  <conditionalFormatting sqref="E10">
    <cfRule type="expression" priority="4" aboveAverage="0" equalAverage="0" bottom="0" percent="0" rank="0" text="" dxfId="6">
      <formula>E10="FAIL"</formula>
    </cfRule>
  </conditionalFormatting>
  <conditionalFormatting sqref="E11">
    <cfRule type="expression" priority="5" aboveAverage="0" equalAverage="0" bottom="0" percent="0" rank="0" text="" dxfId="6">
      <formula>E11="FAIL"</formula>
    </cfRule>
  </conditionalFormatting>
  <conditionalFormatting sqref="E12">
    <cfRule type="expression" priority="6" aboveAverage="0" equalAverage="0" bottom="0" percent="0" rank="0" text="" dxfId="6">
      <formula>E12="FAIL"</formula>
    </cfRule>
  </conditionalFormatting>
  <conditionalFormatting sqref="E13">
    <cfRule type="expression" priority="7" aboveAverage="0" equalAverage="0" bottom="0" percent="0" rank="0" text="" dxfId="6">
      <formula>E13="FAIL"</formula>
    </cfRule>
  </conditionalFormatting>
  <conditionalFormatting sqref="E14">
    <cfRule type="expression" priority="8" aboveAverage="0" equalAverage="0" bottom="0" percent="0" rank="0" text="" dxfId="6">
      <formula>E14="FAIL"</formula>
    </cfRule>
  </conditionalFormatting>
  <conditionalFormatting sqref="E15">
    <cfRule type="expression" priority="9" aboveAverage="0" equalAverage="0" bottom="0" percent="0" rank="0" text="" dxfId="6">
      <formula>E15="FAIL"</formula>
    </cfRule>
  </conditionalFormatting>
  <conditionalFormatting sqref="E16">
    <cfRule type="expression" priority="10" aboveAverage="0" equalAverage="0" bottom="0" percent="0" rank="0" text="" dxfId="6">
      <formula>E16="FAIL"</formula>
    </cfRule>
  </conditionalFormatting>
  <conditionalFormatting sqref="E17">
    <cfRule type="expression" priority="11" aboveAverage="0" equalAverage="0" bottom="0" percent="0" rank="0" text="" dxfId="6">
      <formula>E17="FAIL"</formula>
    </cfRule>
  </conditionalFormatting>
  <conditionalFormatting sqref="E18">
    <cfRule type="expression" priority="12" aboveAverage="0" equalAverage="0" bottom="0" percent="0" rank="0" text="" dxfId="6">
      <formula>E18="FAIL"</formula>
    </cfRule>
  </conditionalFormatting>
  <conditionalFormatting sqref="E20">
    <cfRule type="expression" priority="13" aboveAverage="0" equalAverage="0" bottom="0" percent="0" rank="0" text="" dxfId="7">
      <formula>E20="REVIEW"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2026-09-30T06:00:56Z</dcterms:created>
  <dc:creator>BabaDigit</dc:creator>
  <dc:description/>
  <cp:keywords>working capital calculator current ratio quick ratio liquidity cash conversion Excel</cp:keywords>
  <dc:language>en-US</dc:language>
  <cp:lastModifiedBy/>
  <dcterms:modified xsi:type="dcterms:W3CDTF">2026-09-30T10:12:13Z</dcterms:modified>
  <cp:revision>1</cp:revision>
  <dc:subject>Working capital calculator</dc:subject>
  <dc:title>BabaDigit Working Capital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